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0" yWindow="0" windowWidth="20640" windowHeight="8595" tabRatio="945" firstSheet="2"/>
  </bookViews>
  <sheets>
    <sheet name="дод1" sheetId="27" r:id="rId1"/>
    <sheet name="дод1.1без змін" sheetId="36" r:id="rId2"/>
    <sheet name=" дод1.2без змін" sheetId="41" r:id="rId3"/>
    <sheet name=" дод1.3" sheetId="42" r:id="rId4"/>
    <sheet name="дод2" sheetId="20" r:id="rId5"/>
    <sheet name="дод3" sheetId="1" r:id="rId6"/>
    <sheet name="дод 4без змін" sheetId="14" r:id="rId7"/>
    <sheet name="Додаток 5_Д" sheetId="39" r:id="rId8"/>
    <sheet name="Додаток 5_В" sheetId="40" r:id="rId9"/>
    <sheet name=" дод 5_1" sheetId="24" r:id="rId10"/>
    <sheet name="дод5.2без змін" sheetId="31" r:id="rId11"/>
    <sheet name="дод 5.3" sheetId="44" r:id="rId12"/>
    <sheet name="дод6" sheetId="15" r:id="rId13"/>
    <sheet name="дод7" sheetId="22" r:id="rId14"/>
  </sheets>
  <externalReferences>
    <externalReference r:id="rId15"/>
    <externalReference r:id="rId16"/>
  </externalReferences>
  <definedNames>
    <definedName name="_xlnm._FilterDatabase" localSheetId="9" hidden="1">' дод 5_1'!$A$1:$G$1374</definedName>
    <definedName name="_xlnm._FilterDatabase" localSheetId="2" hidden="1">' дод1.2без змін'!$A$1:$F$794</definedName>
    <definedName name="_xlnm._FilterDatabase" localSheetId="3" hidden="1">' дод1.3'!$A$1:$F$814</definedName>
    <definedName name="_xlnm._FilterDatabase" localSheetId="6" hidden="1">'дод 4без змін'!#REF!</definedName>
    <definedName name="_xlnm._FilterDatabase" localSheetId="11" hidden="1">'дод 5.3'!$A$1:$F$845</definedName>
    <definedName name="_xlnm._FilterDatabase" localSheetId="0" hidden="1">дод1!$G$1:$G$197</definedName>
    <definedName name="_xlnm._FilterDatabase" localSheetId="1" hidden="1">'дод1.1без змін'!$A$1:$F$796</definedName>
    <definedName name="_xlnm._FilterDatabase" localSheetId="5" hidden="1">дод3!$A$1:$R$334</definedName>
    <definedName name="_xlnm._FilterDatabase" localSheetId="12" hidden="1">дод6!$A$1:$L$256</definedName>
    <definedName name="_xlnm._FilterDatabase" localSheetId="13" hidden="1">дод7!$A$1:$L$347</definedName>
    <definedName name="_xlnm._FilterDatabase" localSheetId="8" hidden="1">'Додаток 5_В'!$A$1:$M$1640</definedName>
    <definedName name="_xlnm._FilterDatabase" localSheetId="7" hidden="1">'Додаток 5_Д'!$E$1:$E$396</definedName>
    <definedName name="_xlnm.Print_Titles" localSheetId="9">' дод 5_1'!$A:$A,' дод 5_1'!$6:$6</definedName>
    <definedName name="_xlnm.Print_Titles" localSheetId="2">' дод1.2без змін'!$A:$A,' дод1.2без змін'!$8:$9</definedName>
    <definedName name="_xlnm.Print_Titles" localSheetId="3">' дод1.3'!$A:$A,' дод1.3'!$8:$9</definedName>
    <definedName name="_xlnm.Print_Titles" localSheetId="6">'дод 4без змін'!$4:$12</definedName>
    <definedName name="_xlnm.Print_Titles" localSheetId="11">'дод 5.3'!$A:$A,'дод 5.3'!$8:$10</definedName>
    <definedName name="_xlnm.Print_Titles" localSheetId="0">дод1!$9:$11</definedName>
    <definedName name="_xlnm.Print_Titles" localSheetId="1">'дод1.1без змін'!$A:$A,'дод1.1без змін'!$8:$9</definedName>
    <definedName name="_xlnm.Print_Titles" localSheetId="4">дод2!$9:$11</definedName>
    <definedName name="_xlnm.Print_Titles" localSheetId="5">дод3!$10:$16</definedName>
    <definedName name="_xlnm.Print_Titles" localSheetId="10">'дод5.2без змін'!$8:$8</definedName>
    <definedName name="_xlnm.Print_Titles" localSheetId="12">дод6!$9:$10</definedName>
    <definedName name="_xlnm.Print_Titles" localSheetId="13">дод7!$9:$10</definedName>
    <definedName name="_xlnm.Print_Titles" localSheetId="8">'Додаток 5_В'!$4:$4</definedName>
    <definedName name="_xlnm.Print_Titles" localSheetId="7">'Додаток 5_Д'!$10:$11</definedName>
    <definedName name="_xlnm.Print_Area" localSheetId="9">' дод 5_1'!$A$1:$E$1370</definedName>
    <definedName name="_xlnm.Print_Area" localSheetId="2">' дод1.2без змін'!$A$1:$E$738</definedName>
    <definedName name="_xlnm.Print_Area" localSheetId="3">' дод1.3'!$A$1:$E$756</definedName>
    <definedName name="_xlnm.Print_Area" localSheetId="6">'дод 4без змін'!$A$1:$P$27</definedName>
    <definedName name="_xlnm.Print_Area" localSheetId="11">'дод 5.3'!$A$1:$E$789</definedName>
    <definedName name="_xlnm.Print_Area" localSheetId="0">дод1!$A$1:$F$171</definedName>
    <definedName name="_xlnm.Print_Area" localSheetId="1">'дод1.1без змін'!$A$1:$E$740</definedName>
    <definedName name="_xlnm.Print_Area" localSheetId="4">дод2!$A$1:$G$37</definedName>
    <definedName name="_xlnm.Print_Area" localSheetId="5">дод3!$A$1:$Q$320</definedName>
    <definedName name="_xlnm.Print_Area" localSheetId="10">'дод5.2без змін'!$A$1:$E$54</definedName>
    <definedName name="_xlnm.Print_Area" localSheetId="12">дод6!$A$1:$J$160</definedName>
    <definedName name="_xlnm.Print_Area" localSheetId="13">дод7!$A$1:$J$293</definedName>
    <definedName name="_xlnm.Print_Area" localSheetId="8">'Додаток 5_В'!$A$1:$L$1709</definedName>
    <definedName name="_xlnm.Print_Area" localSheetId="7">'Додаток 5_Д'!$A$1:$C$392</definedName>
  </definedNames>
  <calcPr calcId="162913" fullCalcOnLoad="1"/>
</workbook>
</file>

<file path=xl/calcChain.xml><?xml version="1.0" encoding="utf-8"?>
<calcChain xmlns="http://schemas.openxmlformats.org/spreadsheetml/2006/main">
  <c r="D1133" i="40" l="1"/>
  <c r="G1136" i="40"/>
  <c r="C39" i="39"/>
  <c r="C40" i="39"/>
  <c r="C37" i="39"/>
  <c r="C38" i="39"/>
  <c r="J43" i="22"/>
  <c r="I43" i="22"/>
  <c r="E713" i="42"/>
  <c r="C713" i="42"/>
  <c r="E593" i="42"/>
  <c r="E592" i="42"/>
  <c r="C471" i="42"/>
  <c r="F471" i="42"/>
  <c r="C603" i="42"/>
  <c r="E252" i="42"/>
  <c r="C220" i="42"/>
  <c r="E219" i="42"/>
  <c r="O66" i="1"/>
  <c r="N66" i="1"/>
  <c r="E161" i="27"/>
  <c r="E143" i="42"/>
  <c r="F24" i="20"/>
  <c r="E24" i="20"/>
  <c r="D24" i="20"/>
  <c r="P312" i="1"/>
  <c r="O312" i="1"/>
  <c r="N312" i="1"/>
  <c r="F312" i="1"/>
  <c r="D1518" i="40"/>
  <c r="D1085" i="40"/>
  <c r="D446" i="24"/>
  <c r="D445" i="24"/>
  <c r="D452" i="24"/>
  <c r="D632" i="40"/>
  <c r="D615" i="40"/>
  <c r="D581" i="40"/>
  <c r="D576" i="40"/>
  <c r="D569" i="40"/>
  <c r="D594" i="40"/>
  <c r="D585" i="40"/>
  <c r="D598" i="40"/>
  <c r="I146" i="1"/>
  <c r="D750" i="40"/>
  <c r="D146" i="27"/>
  <c r="D768" i="40"/>
  <c r="D712" i="40"/>
  <c r="I148" i="1"/>
  <c r="D147" i="27"/>
  <c r="D839" i="40"/>
  <c r="D785" i="40"/>
  <c r="D822" i="40"/>
  <c r="D805" i="40"/>
  <c r="D832" i="40"/>
  <c r="D821" i="40"/>
  <c r="D804" i="40"/>
  <c r="D817" i="40"/>
  <c r="D809" i="40"/>
  <c r="I192" i="22"/>
  <c r="N252" i="1"/>
  <c r="K252" i="1"/>
  <c r="E151" i="27"/>
  <c r="D158" i="27"/>
  <c r="O61" i="1"/>
  <c r="N61" i="1"/>
  <c r="F515" i="42"/>
  <c r="F745" i="42"/>
  <c r="F746" i="42"/>
  <c r="F747" i="42"/>
  <c r="F748" i="42"/>
  <c r="F749" i="42"/>
  <c r="F750" i="42"/>
  <c r="F751" i="42"/>
  <c r="F752" i="42"/>
  <c r="F753" i="42"/>
  <c r="E670" i="42"/>
  <c r="E614" i="42"/>
  <c r="E734" i="42"/>
  <c r="E427" i="42"/>
  <c r="C110" i="42"/>
  <c r="F110" i="42"/>
  <c r="E153" i="42"/>
  <c r="E165" i="42"/>
  <c r="C252" i="42"/>
  <c r="F252" i="42"/>
  <c r="C87" i="42"/>
  <c r="F87" i="42"/>
  <c r="C306" i="42"/>
  <c r="F306" i="42"/>
  <c r="C636" i="42"/>
  <c r="F636" i="42"/>
  <c r="C76" i="42"/>
  <c r="F76" i="42"/>
  <c r="C493" i="42"/>
  <c r="F493" i="42"/>
  <c r="C285" i="42"/>
  <c r="F285" i="42"/>
  <c r="C460" i="42"/>
  <c r="F460" i="42"/>
  <c r="E701" i="42"/>
  <c r="E198" i="42"/>
  <c r="C405" i="42"/>
  <c r="F405" i="42"/>
  <c r="C186" i="42"/>
  <c r="F186" i="42"/>
  <c r="E383" i="42"/>
  <c r="C383" i="42"/>
  <c r="F383" i="42"/>
  <c r="C132" i="42"/>
  <c r="F132" i="42"/>
  <c r="C625" i="42"/>
  <c r="F625" i="42"/>
  <c r="E241" i="42"/>
  <c r="J186" i="22"/>
  <c r="I186" i="22"/>
  <c r="J180" i="22"/>
  <c r="I180" i="22"/>
  <c r="I58" i="15"/>
  <c r="I43" i="15"/>
  <c r="I42" i="15"/>
  <c r="I39" i="15"/>
  <c r="I38" i="15"/>
  <c r="J184" i="22"/>
  <c r="I184" i="22"/>
  <c r="I56" i="15"/>
  <c r="P241" i="1"/>
  <c r="O241" i="1"/>
  <c r="N241" i="1"/>
  <c r="P242" i="1"/>
  <c r="O242" i="1"/>
  <c r="N242" i="1"/>
  <c r="P236" i="1"/>
  <c r="O236" i="1"/>
  <c r="N236" i="1"/>
  <c r="P235" i="1"/>
  <c r="O235" i="1"/>
  <c r="N235" i="1"/>
  <c r="Y921" i="40"/>
  <c r="Y922" i="40"/>
  <c r="Y923" i="40"/>
  <c r="Y924" i="40"/>
  <c r="Y925" i="40"/>
  <c r="Y926" i="40"/>
  <c r="Y927" i="40"/>
  <c r="Y928" i="40"/>
  <c r="Y929" i="40"/>
  <c r="W929" i="40"/>
  <c r="Y930" i="40"/>
  <c r="Y931" i="40"/>
  <c r="Y932" i="40"/>
  <c r="Y933" i="40"/>
  <c r="Y934" i="40"/>
  <c r="Y935" i="40"/>
  <c r="Y936" i="40"/>
  <c r="Y937" i="40"/>
  <c r="Y938" i="40"/>
  <c r="Y939" i="40"/>
  <c r="Y940" i="40"/>
  <c r="Y941" i="40"/>
  <c r="Y942" i="40"/>
  <c r="Y943" i="40"/>
  <c r="Y944" i="40"/>
  <c r="Y945" i="40"/>
  <c r="Y946" i="40"/>
  <c r="Y947" i="40"/>
  <c r="Y948" i="40"/>
  <c r="Y949" i="40"/>
  <c r="Y950" i="40"/>
  <c r="Y951" i="40"/>
  <c r="Y952" i="40"/>
  <c r="Y953" i="40"/>
  <c r="Y954" i="40"/>
  <c r="Y955" i="40"/>
  <c r="Y956" i="40"/>
  <c r="Y957" i="40"/>
  <c r="Y958" i="40"/>
  <c r="Y959" i="40"/>
  <c r="Y960" i="40"/>
  <c r="Y961" i="40"/>
  <c r="Y962" i="40"/>
  <c r="Y963" i="40"/>
  <c r="W963" i="40"/>
  <c r="AB963" i="40"/>
  <c r="Y964" i="40"/>
  <c r="Y965" i="40"/>
  <c r="Y966" i="40"/>
  <c r="Y967" i="40"/>
  <c r="Y968" i="40"/>
  <c r="Y969" i="40"/>
  <c r="Y970" i="40"/>
  <c r="Y971" i="40"/>
  <c r="Y972" i="40"/>
  <c r="Y973" i="40"/>
  <c r="Y974" i="40"/>
  <c r="Y975" i="40"/>
  <c r="Y976" i="40"/>
  <c r="Y977" i="40"/>
  <c r="Y978" i="40"/>
  <c r="Y979" i="40"/>
  <c r="Y980" i="40"/>
  <c r="Y981" i="40"/>
  <c r="Y916" i="40"/>
  <c r="Y917" i="40"/>
  <c r="Y918" i="40"/>
  <c r="Y919" i="40"/>
  <c r="Y920" i="40"/>
  <c r="Y915" i="40"/>
  <c r="Y914" i="40"/>
  <c r="Z916" i="40"/>
  <c r="Z917" i="40"/>
  <c r="Z918" i="40"/>
  <c r="Z919" i="40"/>
  <c r="Z920" i="40"/>
  <c r="Z921" i="40"/>
  <c r="Z922" i="40"/>
  <c r="AA922" i="40"/>
  <c r="Z923" i="40"/>
  <c r="Z924" i="40"/>
  <c r="Z925" i="40"/>
  <c r="Z926" i="40"/>
  <c r="Z927" i="40"/>
  <c r="Z928" i="40"/>
  <c r="Z929" i="40"/>
  <c r="Z930" i="40"/>
  <c r="W930" i="40"/>
  <c r="AB930" i="40"/>
  <c r="Z931" i="40"/>
  <c r="Z932" i="40"/>
  <c r="Z933" i="40"/>
  <c r="Z934" i="40"/>
  <c r="AA934" i="40"/>
  <c r="Z935" i="40"/>
  <c r="Z936" i="40"/>
  <c r="Z937" i="40"/>
  <c r="AA937" i="40"/>
  <c r="Z938" i="40"/>
  <c r="Z939" i="40"/>
  <c r="Z940" i="40"/>
  <c r="Z941" i="40"/>
  <c r="Z942" i="40"/>
  <c r="Z943" i="40"/>
  <c r="Z944" i="40"/>
  <c r="Z945" i="40"/>
  <c r="Z946" i="40"/>
  <c r="Z947" i="40"/>
  <c r="Z948" i="40"/>
  <c r="Z949" i="40"/>
  <c r="Z950" i="40"/>
  <c r="Z951" i="40"/>
  <c r="Z952" i="40"/>
  <c r="Z953" i="40"/>
  <c r="Z954" i="40"/>
  <c r="Z955" i="40"/>
  <c r="Z956" i="40"/>
  <c r="Z957" i="40"/>
  <c r="Z958" i="40"/>
  <c r="Z959" i="40"/>
  <c r="Z960" i="40"/>
  <c r="Z961" i="40"/>
  <c r="Z962" i="40"/>
  <c r="Z963" i="40"/>
  <c r="Z964" i="40"/>
  <c r="Z965" i="40"/>
  <c r="Z966" i="40"/>
  <c r="Z967" i="40"/>
  <c r="Z968" i="40"/>
  <c r="Z969" i="40"/>
  <c r="Z970" i="40"/>
  <c r="Z971" i="40"/>
  <c r="Z972" i="40"/>
  <c r="Z973" i="40"/>
  <c r="AA973" i="40"/>
  <c r="Z974" i="40"/>
  <c r="Z975" i="40"/>
  <c r="Z976" i="40"/>
  <c r="Z977" i="40"/>
  <c r="AA977" i="40"/>
  <c r="Z978" i="40"/>
  <c r="W978" i="40"/>
  <c r="Z979" i="40"/>
  <c r="Z980" i="40"/>
  <c r="Z915" i="40"/>
  <c r="G981" i="40"/>
  <c r="G963" i="40"/>
  <c r="F912" i="40"/>
  <c r="T916" i="40"/>
  <c r="T917" i="40"/>
  <c r="T918" i="40"/>
  <c r="T919" i="40"/>
  <c r="T920" i="40"/>
  <c r="T921" i="40"/>
  <c r="T922" i="40"/>
  <c r="T923" i="40"/>
  <c r="T924" i="40"/>
  <c r="T925" i="40"/>
  <c r="T926" i="40"/>
  <c r="T927" i="40"/>
  <c r="T928" i="40"/>
  <c r="T929" i="40"/>
  <c r="T930" i="40"/>
  <c r="T931" i="40"/>
  <c r="T932" i="40"/>
  <c r="T933" i="40"/>
  <c r="T934" i="40"/>
  <c r="T935" i="40"/>
  <c r="T936" i="40"/>
  <c r="T937" i="40"/>
  <c r="T938" i="40"/>
  <c r="T939" i="40"/>
  <c r="T940" i="40"/>
  <c r="T941" i="40"/>
  <c r="T942" i="40"/>
  <c r="T943" i="40"/>
  <c r="T944" i="40"/>
  <c r="T945" i="40"/>
  <c r="T946" i="40"/>
  <c r="T947" i="40"/>
  <c r="T948" i="40"/>
  <c r="T949" i="40"/>
  <c r="T950" i="40"/>
  <c r="T951" i="40"/>
  <c r="T952" i="40"/>
  <c r="T953" i="40"/>
  <c r="T954" i="40"/>
  <c r="T955" i="40"/>
  <c r="T956" i="40"/>
  <c r="T957" i="40"/>
  <c r="T958" i="40"/>
  <c r="T959" i="40"/>
  <c r="T960" i="40"/>
  <c r="T961" i="40"/>
  <c r="T962" i="40"/>
  <c r="T963" i="40"/>
  <c r="T964" i="40"/>
  <c r="T965" i="40"/>
  <c r="T966" i="40"/>
  <c r="T967" i="40"/>
  <c r="T968" i="40"/>
  <c r="T969" i="40"/>
  <c r="T970" i="40"/>
  <c r="T971" i="40"/>
  <c r="T972" i="40"/>
  <c r="T973" i="40"/>
  <c r="T974" i="40"/>
  <c r="T975" i="40"/>
  <c r="T976" i="40"/>
  <c r="T977" i="40"/>
  <c r="T978" i="40"/>
  <c r="T979" i="40"/>
  <c r="T980" i="40"/>
  <c r="T981" i="40"/>
  <c r="T915" i="40"/>
  <c r="W937" i="40"/>
  <c r="X916" i="40"/>
  <c r="W916" i="40"/>
  <c r="X917" i="40"/>
  <c r="X918" i="40"/>
  <c r="X921" i="40"/>
  <c r="W921" i="40"/>
  <c r="X922" i="40"/>
  <c r="W922" i="40"/>
  <c r="X923" i="40"/>
  <c r="X924" i="40"/>
  <c r="X925" i="40"/>
  <c r="W925" i="40"/>
  <c r="X926" i="40"/>
  <c r="X927" i="40"/>
  <c r="X928" i="40"/>
  <c r="X929" i="40"/>
  <c r="X930" i="40"/>
  <c r="X931" i="40"/>
  <c r="X932" i="40"/>
  <c r="X933" i="40"/>
  <c r="X934" i="40"/>
  <c r="X935" i="40"/>
  <c r="X936" i="40"/>
  <c r="X937" i="40"/>
  <c r="X938" i="40"/>
  <c r="X939" i="40"/>
  <c r="X940" i="40"/>
  <c r="X941" i="40"/>
  <c r="X942" i="40"/>
  <c r="X943" i="40"/>
  <c r="X944" i="40"/>
  <c r="X945" i="40"/>
  <c r="X946" i="40"/>
  <c r="X947" i="40"/>
  <c r="X948" i="40"/>
  <c r="X949" i="40"/>
  <c r="X950" i="40"/>
  <c r="X952" i="40"/>
  <c r="X953" i="40"/>
  <c r="W953" i="40"/>
  <c r="X954" i="40"/>
  <c r="X955" i="40"/>
  <c r="X956" i="40"/>
  <c r="X957" i="40"/>
  <c r="W957" i="40"/>
  <c r="X958" i="40"/>
  <c r="X959" i="40"/>
  <c r="X961" i="40"/>
  <c r="X964" i="40"/>
  <c r="X965" i="40"/>
  <c r="W965" i="40"/>
  <c r="X967" i="40"/>
  <c r="X968" i="40"/>
  <c r="X969" i="40"/>
  <c r="X970" i="40"/>
  <c r="X971" i="40"/>
  <c r="X972" i="40"/>
  <c r="X973" i="40"/>
  <c r="W973" i="40"/>
  <c r="X975" i="40"/>
  <c r="X976" i="40"/>
  <c r="X977" i="40"/>
  <c r="W977" i="40"/>
  <c r="X978" i="40"/>
  <c r="X979" i="40"/>
  <c r="X980" i="40"/>
  <c r="X981" i="40"/>
  <c r="K72" i="15"/>
  <c r="N72" i="15"/>
  <c r="K40" i="15"/>
  <c r="K34" i="15"/>
  <c r="K17" i="15"/>
  <c r="N17" i="15"/>
  <c r="K15" i="15"/>
  <c r="O62" i="22"/>
  <c r="O59" i="22"/>
  <c r="H62" i="22"/>
  <c r="H59" i="22"/>
  <c r="F95" i="1"/>
  <c r="F92" i="1"/>
  <c r="G9" i="24"/>
  <c r="G19" i="24"/>
  <c r="G20" i="24"/>
  <c r="G22" i="24"/>
  <c r="G23" i="24"/>
  <c r="G27" i="24"/>
  <c r="G30" i="24"/>
  <c r="G31" i="24"/>
  <c r="G32" i="24"/>
  <c r="G41" i="24"/>
  <c r="G42" i="24"/>
  <c r="G43" i="24"/>
  <c r="G46" i="24"/>
  <c r="G52" i="24"/>
  <c r="G53" i="24"/>
  <c r="G54" i="24"/>
  <c r="G55" i="24"/>
  <c r="G56" i="24"/>
  <c r="G58" i="24"/>
  <c r="G59" i="24"/>
  <c r="G60" i="24"/>
  <c r="G63" i="24"/>
  <c r="G64" i="24"/>
  <c r="G65" i="24"/>
  <c r="G74" i="24"/>
  <c r="G75" i="24"/>
  <c r="G76" i="24"/>
  <c r="G77" i="24"/>
  <c r="G78" i="24"/>
  <c r="G79" i="24"/>
  <c r="G85" i="24"/>
  <c r="G86" i="24"/>
  <c r="G87" i="24"/>
  <c r="G88" i="24"/>
  <c r="G89" i="24"/>
  <c r="G90" i="24"/>
  <c r="G91" i="24"/>
  <c r="G92" i="24"/>
  <c r="G93" i="24"/>
  <c r="G96" i="24"/>
  <c r="G107" i="24"/>
  <c r="G108" i="24"/>
  <c r="G109" i="24"/>
  <c r="G110" i="24"/>
  <c r="G111" i="24"/>
  <c r="G118" i="24"/>
  <c r="G119" i="24"/>
  <c r="G120" i="24"/>
  <c r="G121" i="24"/>
  <c r="G122" i="24"/>
  <c r="G123" i="24"/>
  <c r="G124" i="24"/>
  <c r="G125" i="24"/>
  <c r="G126" i="24"/>
  <c r="G127" i="24"/>
  <c r="G128" i="24"/>
  <c r="G129" i="24"/>
  <c r="G130" i="24"/>
  <c r="G134" i="24"/>
  <c r="G135" i="24"/>
  <c r="G136" i="24"/>
  <c r="G137" i="24"/>
  <c r="G138" i="24"/>
  <c r="G139" i="24"/>
  <c r="G140" i="24"/>
  <c r="G147" i="24"/>
  <c r="G148" i="24"/>
  <c r="G149" i="24"/>
  <c r="G150" i="24"/>
  <c r="G151" i="24"/>
  <c r="G152" i="24"/>
  <c r="G153" i="24"/>
  <c r="G156" i="24"/>
  <c r="G160" i="24"/>
  <c r="G161" i="24"/>
  <c r="G162" i="24"/>
  <c r="G163" i="24"/>
  <c r="G164" i="24"/>
  <c r="G165" i="24"/>
  <c r="G166" i="24"/>
  <c r="G167" i="24"/>
  <c r="G168" i="24"/>
  <c r="G169" i="24"/>
  <c r="G170" i="24"/>
  <c r="G171" i="24"/>
  <c r="G172" i="24"/>
  <c r="G178" i="24"/>
  <c r="G179" i="24"/>
  <c r="G180" i="24"/>
  <c r="G181" i="24"/>
  <c r="G182" i="24"/>
  <c r="G183" i="24"/>
  <c r="G184" i="24"/>
  <c r="G185" i="24"/>
  <c r="G186" i="24"/>
  <c r="G187" i="24"/>
  <c r="G188" i="24"/>
  <c r="G189" i="24"/>
  <c r="G190" i="24"/>
  <c r="G191" i="24"/>
  <c r="G192" i="24"/>
  <c r="G193" i="24"/>
  <c r="G194" i="24"/>
  <c r="G195" i="24"/>
  <c r="G196" i="24"/>
  <c r="G197" i="24"/>
  <c r="G198" i="24"/>
  <c r="G199" i="24"/>
  <c r="G200" i="24"/>
  <c r="G201" i="24"/>
  <c r="G202" i="24"/>
  <c r="G203" i="24"/>
  <c r="G204" i="24"/>
  <c r="G205" i="24"/>
  <c r="G206" i="24"/>
  <c r="G207" i="24"/>
  <c r="G208" i="24"/>
  <c r="G209" i="24"/>
  <c r="G210" i="24"/>
  <c r="G211" i="24"/>
  <c r="G212" i="24"/>
  <c r="G213" i="24"/>
  <c r="G214" i="24"/>
  <c r="G215" i="24"/>
  <c r="G216" i="24"/>
  <c r="G217" i="24"/>
  <c r="G218" i="24"/>
  <c r="G220" i="24"/>
  <c r="G221" i="24"/>
  <c r="G222" i="24"/>
  <c r="G223" i="24"/>
  <c r="G224" i="24"/>
  <c r="G231" i="24"/>
  <c r="G232" i="24"/>
  <c r="G234" i="24"/>
  <c r="G235" i="24"/>
  <c r="G236" i="24"/>
  <c r="G237" i="24"/>
  <c r="G242" i="24"/>
  <c r="G243" i="24"/>
  <c r="G244" i="24"/>
  <c r="G245" i="24"/>
  <c r="G246" i="24"/>
  <c r="G247" i="24"/>
  <c r="G248" i="24"/>
  <c r="G249" i="24"/>
  <c r="G250" i="24"/>
  <c r="G253" i="24"/>
  <c r="G254" i="24"/>
  <c r="G255" i="24"/>
  <c r="G256" i="24"/>
  <c r="G257" i="24"/>
  <c r="G258" i="24"/>
  <c r="G259" i="24"/>
  <c r="G260" i="24"/>
  <c r="G261" i="24"/>
  <c r="G262" i="24"/>
  <c r="G263" i="24"/>
  <c r="G264" i="24"/>
  <c r="G265" i="24"/>
  <c r="G266" i="24"/>
  <c r="G269" i="24"/>
  <c r="G270" i="24"/>
  <c r="G271" i="24"/>
  <c r="G272" i="24"/>
  <c r="G273" i="24"/>
  <c r="G274" i="24"/>
  <c r="G275" i="24"/>
  <c r="G276" i="24"/>
  <c r="G277" i="24"/>
  <c r="G278" i="24"/>
  <c r="G279" i="24"/>
  <c r="G280" i="24"/>
  <c r="G281" i="24"/>
  <c r="G282" i="24"/>
  <c r="G283" i="24"/>
  <c r="G284" i="24"/>
  <c r="G285" i="24"/>
  <c r="G286" i="24"/>
  <c r="G287" i="24"/>
  <c r="G290" i="24"/>
  <c r="G291" i="24"/>
  <c r="G292" i="24"/>
  <c r="G293" i="24"/>
  <c r="G294" i="24"/>
  <c r="G295" i="24"/>
  <c r="G296" i="24"/>
  <c r="G297" i="24"/>
  <c r="G298" i="24"/>
  <c r="G301" i="24"/>
  <c r="G302" i="24"/>
  <c r="G303" i="24"/>
  <c r="G304" i="24"/>
  <c r="G305" i="24"/>
  <c r="G306" i="24"/>
  <c r="G307" i="24"/>
  <c r="G308" i="24"/>
  <c r="G309" i="24"/>
  <c r="G312" i="24"/>
  <c r="G313" i="24"/>
  <c r="G314" i="24"/>
  <c r="G315" i="24"/>
  <c r="G316" i="24"/>
  <c r="G317" i="24"/>
  <c r="G318" i="24"/>
  <c r="G319" i="24"/>
  <c r="G320" i="24"/>
  <c r="G324" i="24"/>
  <c r="G325" i="24"/>
  <c r="G326" i="24"/>
  <c r="G327" i="24"/>
  <c r="G328" i="24"/>
  <c r="G332" i="24"/>
  <c r="G333" i="24"/>
  <c r="G343" i="24"/>
  <c r="G344" i="24"/>
  <c r="G354" i="24"/>
  <c r="G355" i="24"/>
  <c r="G356" i="24"/>
  <c r="G358" i="24"/>
  <c r="G363" i="24"/>
  <c r="G365" i="24"/>
  <c r="G366" i="24"/>
  <c r="G367" i="24"/>
  <c r="G371" i="24"/>
  <c r="G376" i="24"/>
  <c r="G377" i="24"/>
  <c r="G378" i="24"/>
  <c r="G379" i="24"/>
  <c r="G380" i="24"/>
  <c r="G381" i="24"/>
  <c r="G387" i="24"/>
  <c r="G388" i="24"/>
  <c r="G389" i="24"/>
  <c r="G398" i="24"/>
  <c r="G399" i="24"/>
  <c r="G400" i="24"/>
  <c r="G403" i="24"/>
  <c r="G404" i="24"/>
  <c r="G405" i="24"/>
  <c r="G406" i="24"/>
  <c r="G407" i="24"/>
  <c r="G408" i="24"/>
  <c r="G409" i="24"/>
  <c r="G410" i="24"/>
  <c r="G411" i="24"/>
  <c r="G412" i="24"/>
  <c r="G413" i="24"/>
  <c r="G414" i="24"/>
  <c r="G415" i="24"/>
  <c r="G416" i="24"/>
  <c r="G419" i="24"/>
  <c r="G420" i="24"/>
  <c r="G421" i="24"/>
  <c r="G422" i="24"/>
  <c r="G423" i="24"/>
  <c r="G424" i="24"/>
  <c r="G425" i="24"/>
  <c r="G426" i="24"/>
  <c r="G431" i="24"/>
  <c r="G432" i="24"/>
  <c r="G433" i="24"/>
  <c r="G434" i="24"/>
  <c r="G435" i="24"/>
  <c r="G436" i="24"/>
  <c r="G437" i="24"/>
  <c r="G438" i="24"/>
  <c r="G439" i="24"/>
  <c r="G443" i="24"/>
  <c r="G444" i="24"/>
  <c r="G445" i="24"/>
  <c r="G446" i="24"/>
  <c r="G447" i="24"/>
  <c r="G448" i="24"/>
  <c r="G449" i="24"/>
  <c r="G452" i="24"/>
  <c r="G453" i="24"/>
  <c r="G454" i="24"/>
  <c r="G455" i="24"/>
  <c r="G456" i="24"/>
  <c r="G457" i="24"/>
  <c r="G458" i="24"/>
  <c r="G459" i="24"/>
  <c r="G460" i="24"/>
  <c r="G461" i="24"/>
  <c r="G462" i="24"/>
  <c r="G463" i="24"/>
  <c r="G464" i="24"/>
  <c r="G465" i="24"/>
  <c r="G466" i="24"/>
  <c r="G467" i="24"/>
  <c r="G468" i="24"/>
  <c r="G469" i="24"/>
  <c r="G470" i="24"/>
  <c r="G471" i="24"/>
  <c r="G472" i="24"/>
  <c r="G474" i="24"/>
  <c r="G475" i="24"/>
  <c r="G476" i="24"/>
  <c r="G477" i="24"/>
  <c r="G482" i="24"/>
  <c r="G483" i="24"/>
  <c r="G484" i="24"/>
  <c r="G485" i="24"/>
  <c r="G489" i="24"/>
  <c r="G490" i="24"/>
  <c r="G491" i="24"/>
  <c r="G493" i="24"/>
  <c r="G494" i="24"/>
  <c r="G500" i="24"/>
  <c r="G501" i="24"/>
  <c r="G502" i="24"/>
  <c r="G504" i="24"/>
  <c r="G505" i="24"/>
  <c r="G506" i="24"/>
  <c r="G507" i="24"/>
  <c r="G508" i="24"/>
  <c r="G510" i="24"/>
  <c r="G511" i="24"/>
  <c r="G512" i="24"/>
  <c r="G513" i="24"/>
  <c r="G514" i="24"/>
  <c r="G515" i="24"/>
  <c r="G516" i="24"/>
  <c r="G517" i="24"/>
  <c r="G518" i="24"/>
  <c r="G519" i="24"/>
  <c r="G520" i="24"/>
  <c r="G521" i="24"/>
  <c r="G522" i="24"/>
  <c r="G524" i="24"/>
  <c r="G525" i="24"/>
  <c r="G526" i="24"/>
  <c r="G527" i="24"/>
  <c r="G528" i="24"/>
  <c r="G529" i="24"/>
  <c r="G530" i="24"/>
  <c r="G531" i="24"/>
  <c r="G532" i="24"/>
  <c r="G533" i="24"/>
  <c r="G534" i="24"/>
  <c r="G535" i="24"/>
  <c r="G536" i="24"/>
  <c r="G537" i="24"/>
  <c r="G538" i="24"/>
  <c r="G539" i="24"/>
  <c r="G540" i="24"/>
  <c r="G541" i="24"/>
  <c r="G542" i="24"/>
  <c r="G543" i="24"/>
  <c r="G544" i="24"/>
  <c r="G545" i="24"/>
  <c r="G546" i="24"/>
  <c r="G547" i="24"/>
  <c r="G548" i="24"/>
  <c r="G549" i="24"/>
  <c r="G550" i="24"/>
  <c r="G551" i="24"/>
  <c r="G552" i="24"/>
  <c r="G553" i="24"/>
  <c r="G554" i="24"/>
  <c r="G555" i="24"/>
  <c r="G556" i="24"/>
  <c r="G557" i="24"/>
  <c r="G558" i="24"/>
  <c r="G559" i="24"/>
  <c r="G560" i="24"/>
  <c r="G561" i="24"/>
  <c r="G564" i="24"/>
  <c r="G565" i="24"/>
  <c r="G567" i="24"/>
  <c r="G568" i="24"/>
  <c r="G575" i="24"/>
  <c r="G576" i="24"/>
  <c r="G577" i="24"/>
  <c r="G584" i="24"/>
  <c r="G586" i="24"/>
  <c r="G587" i="24"/>
  <c r="G589" i="24"/>
  <c r="G591" i="24"/>
  <c r="G592" i="24"/>
  <c r="G593" i="24"/>
  <c r="G594" i="24"/>
  <c r="G595" i="24"/>
  <c r="G596" i="24"/>
  <c r="G597" i="24"/>
  <c r="G598" i="24"/>
  <c r="G599" i="24"/>
  <c r="G600" i="24"/>
  <c r="G602" i="24"/>
  <c r="G603" i="24"/>
  <c r="G604" i="24"/>
  <c r="G605" i="24"/>
  <c r="G606" i="24"/>
  <c r="G607" i="24"/>
  <c r="G608" i="24"/>
  <c r="G610" i="24"/>
  <c r="G611" i="24"/>
  <c r="G612" i="24"/>
  <c r="G613" i="24"/>
  <c r="G614" i="24"/>
  <c r="G615" i="24"/>
  <c r="G616" i="24"/>
  <c r="G617" i="24"/>
  <c r="G618" i="24"/>
  <c r="G619" i="24"/>
  <c r="G620" i="24"/>
  <c r="G621" i="24"/>
  <c r="G622" i="24"/>
  <c r="G623" i="24"/>
  <c r="G624" i="24"/>
  <c r="G625" i="24"/>
  <c r="G626" i="24"/>
  <c r="G627" i="24"/>
  <c r="G628" i="24"/>
  <c r="G629" i="24"/>
  <c r="G630" i="24"/>
  <c r="G631" i="24"/>
  <c r="G639" i="24"/>
  <c r="G640" i="24"/>
  <c r="G641" i="24"/>
  <c r="G642" i="24"/>
  <c r="G643" i="24"/>
  <c r="G644" i="24"/>
  <c r="G645" i="24"/>
  <c r="G646" i="24"/>
  <c r="G647" i="24"/>
  <c r="G648" i="24"/>
  <c r="G649" i="24"/>
  <c r="G650" i="24"/>
  <c r="G651" i="24"/>
  <c r="G652" i="24"/>
  <c r="G653" i="24"/>
  <c r="G654" i="24"/>
  <c r="G655" i="24"/>
  <c r="G656" i="24"/>
  <c r="G657" i="24"/>
  <c r="G658" i="24"/>
  <c r="G659" i="24"/>
  <c r="G660" i="24"/>
  <c r="G661" i="24"/>
  <c r="G664" i="24"/>
  <c r="G665" i="24"/>
  <c r="G666" i="24"/>
  <c r="G667" i="24"/>
  <c r="G668" i="24"/>
  <c r="G669" i="24"/>
  <c r="G670" i="24"/>
  <c r="G671" i="24"/>
  <c r="G672" i="24"/>
  <c r="G673" i="24"/>
  <c r="G677" i="24"/>
  <c r="G678" i="24"/>
  <c r="G679" i="24"/>
  <c r="G680" i="24"/>
  <c r="G681" i="24"/>
  <c r="G683" i="24"/>
  <c r="G684" i="24"/>
  <c r="G685" i="24"/>
  <c r="G686" i="24"/>
  <c r="G687" i="24"/>
  <c r="G688" i="24"/>
  <c r="G689" i="24"/>
  <c r="G690" i="24"/>
  <c r="G691" i="24"/>
  <c r="G692" i="24"/>
  <c r="G693" i="24"/>
  <c r="G694" i="24"/>
  <c r="G698" i="24"/>
  <c r="G699" i="24"/>
  <c r="G700" i="24"/>
  <c r="G701" i="24"/>
  <c r="G702" i="24"/>
  <c r="G703" i="24"/>
  <c r="G704" i="24"/>
  <c r="G705" i="24"/>
  <c r="G706" i="24"/>
  <c r="G707" i="24"/>
  <c r="G708" i="24"/>
  <c r="G709" i="24"/>
  <c r="G710" i="24"/>
  <c r="G711" i="24"/>
  <c r="G712" i="24"/>
  <c r="G713" i="24"/>
  <c r="G714" i="24"/>
  <c r="G715" i="24"/>
  <c r="G716" i="24"/>
  <c r="G717" i="24"/>
  <c r="G718" i="24"/>
  <c r="G719" i="24"/>
  <c r="G720" i="24"/>
  <c r="G721" i="24"/>
  <c r="G722" i="24"/>
  <c r="G723" i="24"/>
  <c r="G724" i="24"/>
  <c r="G725" i="24"/>
  <c r="G726" i="24"/>
  <c r="G727" i="24"/>
  <c r="G728" i="24"/>
  <c r="G729" i="24"/>
  <c r="G732" i="24"/>
  <c r="G733" i="24"/>
  <c r="G734" i="24"/>
  <c r="G735" i="24"/>
  <c r="G743" i="24"/>
  <c r="G744" i="24"/>
  <c r="G745" i="24"/>
  <c r="G754" i="24"/>
  <c r="G755" i="24"/>
  <c r="G756" i="24"/>
  <c r="G765" i="24"/>
  <c r="G766" i="24"/>
  <c r="G767" i="24"/>
  <c r="G776" i="24"/>
  <c r="G777" i="24"/>
  <c r="G778" i="24"/>
  <c r="G787" i="24"/>
  <c r="G788" i="24"/>
  <c r="G789" i="24"/>
  <c r="G790" i="24"/>
  <c r="G791" i="24"/>
  <c r="G792" i="24"/>
  <c r="G795" i="24"/>
  <c r="G796" i="24"/>
  <c r="G797" i="24"/>
  <c r="G798" i="24"/>
  <c r="G799" i="24"/>
  <c r="G800" i="24"/>
  <c r="G801" i="24"/>
  <c r="G802" i="24"/>
  <c r="G803" i="24"/>
  <c r="G804" i="24"/>
  <c r="G808" i="24"/>
  <c r="G809" i="24"/>
  <c r="G810" i="24"/>
  <c r="G811" i="24"/>
  <c r="G812" i="24"/>
  <c r="G813" i="24"/>
  <c r="G814" i="24"/>
  <c r="G815" i="24"/>
  <c r="G816" i="24"/>
  <c r="G817" i="24"/>
  <c r="G818" i="24"/>
  <c r="G819" i="24"/>
  <c r="G820" i="24"/>
  <c r="G821" i="24"/>
  <c r="G822" i="24"/>
  <c r="G823" i="24"/>
  <c r="G824" i="24"/>
  <c r="G825" i="24"/>
  <c r="G826" i="24"/>
  <c r="G827" i="24"/>
  <c r="G828" i="24"/>
  <c r="G829" i="24"/>
  <c r="G830" i="24"/>
  <c r="G831" i="24"/>
  <c r="G832" i="24"/>
  <c r="G836" i="24"/>
  <c r="G837" i="24"/>
  <c r="G838" i="24"/>
  <c r="G839" i="24"/>
  <c r="G840" i="24"/>
  <c r="G841" i="24"/>
  <c r="G842" i="24"/>
  <c r="G847" i="24"/>
  <c r="G848" i="24"/>
  <c r="G850" i="24"/>
  <c r="G851" i="24"/>
  <c r="G852" i="24"/>
  <c r="G853" i="24"/>
  <c r="G854" i="24"/>
  <c r="G855" i="24"/>
  <c r="G856" i="24"/>
  <c r="G857" i="24"/>
  <c r="G858" i="24"/>
  <c r="G859" i="24"/>
  <c r="G860" i="24"/>
  <c r="G861" i="24"/>
  <c r="G862" i="24"/>
  <c r="G863" i="24"/>
  <c r="G864" i="24"/>
  <c r="G865" i="24"/>
  <c r="G866" i="24"/>
  <c r="G867" i="24"/>
  <c r="G868" i="24"/>
  <c r="G869" i="24"/>
  <c r="G871" i="24"/>
  <c r="G872" i="24"/>
  <c r="G873" i="24"/>
  <c r="G874" i="24"/>
  <c r="G875" i="24"/>
  <c r="G876" i="24"/>
  <c r="G877" i="24"/>
  <c r="G878" i="24"/>
  <c r="G879" i="24"/>
  <c r="G880" i="24"/>
  <c r="G881" i="24"/>
  <c r="G882" i="24"/>
  <c r="G883" i="24"/>
  <c r="G884" i="24"/>
  <c r="G885" i="24"/>
  <c r="G886" i="24"/>
  <c r="G887" i="24"/>
  <c r="G888" i="24"/>
  <c r="G889" i="24"/>
  <c r="G891" i="24"/>
  <c r="G892" i="24"/>
  <c r="G893" i="24"/>
  <c r="G894" i="24"/>
  <c r="G895" i="24"/>
  <c r="G896" i="24"/>
  <c r="G897" i="24"/>
  <c r="G898" i="24"/>
  <c r="G899" i="24"/>
  <c r="G900" i="24"/>
  <c r="G901" i="24"/>
  <c r="G902" i="24"/>
  <c r="G903" i="24"/>
  <c r="G904" i="24"/>
  <c r="G905" i="24"/>
  <c r="G906" i="24"/>
  <c r="G907" i="24"/>
  <c r="G908" i="24"/>
  <c r="G909" i="24"/>
  <c r="G910" i="24"/>
  <c r="G911" i="24"/>
  <c r="G912" i="24"/>
  <c r="G913" i="24"/>
  <c r="G914" i="24"/>
  <c r="G915" i="24"/>
  <c r="G916" i="24"/>
  <c r="G917" i="24"/>
  <c r="G918" i="24"/>
  <c r="G919" i="24"/>
  <c r="G920" i="24"/>
  <c r="G921" i="24"/>
  <c r="G922" i="24"/>
  <c r="G923" i="24"/>
  <c r="G924" i="24"/>
  <c r="G925" i="24"/>
  <c r="G926" i="24"/>
  <c r="G927" i="24"/>
  <c r="G928" i="24"/>
  <c r="G929" i="24"/>
  <c r="G930" i="24"/>
  <c r="G931" i="24"/>
  <c r="G932" i="24"/>
  <c r="G933" i="24"/>
  <c r="G934" i="24"/>
  <c r="G935" i="24"/>
  <c r="G936" i="24"/>
  <c r="G937" i="24"/>
  <c r="G938" i="24"/>
  <c r="G939" i="24"/>
  <c r="G940" i="24"/>
  <c r="G942" i="24"/>
  <c r="G943" i="24"/>
  <c r="G944" i="24"/>
  <c r="G945" i="24"/>
  <c r="G946" i="24"/>
  <c r="G951" i="24"/>
  <c r="G952" i="24"/>
  <c r="G953" i="24"/>
  <c r="G954" i="24"/>
  <c r="G955" i="24"/>
  <c r="G956" i="24"/>
  <c r="G957" i="24"/>
  <c r="G958" i="24"/>
  <c r="G959" i="24"/>
  <c r="G960" i="24"/>
  <c r="G961" i="24"/>
  <c r="G962" i="24"/>
  <c r="G963" i="24"/>
  <c r="G964" i="24"/>
  <c r="G965" i="24"/>
  <c r="G966" i="24"/>
  <c r="G973" i="24"/>
  <c r="G974" i="24"/>
  <c r="G975" i="24"/>
  <c r="G983" i="24"/>
  <c r="G984" i="24"/>
  <c r="G985" i="24"/>
  <c r="G994" i="24"/>
  <c r="G1005" i="24"/>
  <c r="G1006" i="24"/>
  <c r="G1007" i="24"/>
  <c r="G1016" i="24"/>
  <c r="G1017" i="24"/>
  <c r="G1018" i="24"/>
  <c r="G1019" i="24"/>
  <c r="G1020" i="24"/>
  <c r="G1021" i="24"/>
  <c r="G1022" i="24"/>
  <c r="G1023" i="24"/>
  <c r="G1025" i="24"/>
  <c r="G1026" i="24"/>
  <c r="G1027" i="24"/>
  <c r="G1028" i="24"/>
  <c r="G1029" i="24"/>
  <c r="G1030" i="24"/>
  <c r="G1031" i="24"/>
  <c r="G1032" i="24"/>
  <c r="G1033" i="24"/>
  <c r="G1034" i="24"/>
  <c r="G1035" i="24"/>
  <c r="G1036" i="24"/>
  <c r="G1037" i="24"/>
  <c r="G1038" i="24"/>
  <c r="G1039" i="24"/>
  <c r="G1040" i="24"/>
  <c r="G1041" i="24"/>
  <c r="G1042" i="24"/>
  <c r="G1043" i="24"/>
  <c r="G1044" i="24"/>
  <c r="G1045" i="24"/>
  <c r="G1046" i="24"/>
  <c r="G1047" i="24"/>
  <c r="G1048" i="24"/>
  <c r="G1049" i="24"/>
  <c r="G1050" i="24"/>
  <c r="G1051" i="24"/>
  <c r="G1052" i="24"/>
  <c r="G1053" i="24"/>
  <c r="G1056" i="24"/>
  <c r="G1057" i="24"/>
  <c r="G1067" i="24"/>
  <c r="G1068" i="24"/>
  <c r="G1078" i="24"/>
  <c r="G1080" i="24"/>
  <c r="G1081" i="24"/>
  <c r="G1089" i="24"/>
  <c r="G1090" i="24"/>
  <c r="G1091" i="24"/>
  <c r="G1092" i="24"/>
  <c r="G1093" i="24"/>
  <c r="G1100" i="24"/>
  <c r="G1101" i="24"/>
  <c r="G1102" i="24"/>
  <c r="G1103" i="24"/>
  <c r="G1104" i="24"/>
  <c r="G1105" i="24"/>
  <c r="G1106" i="24"/>
  <c r="G1107" i="24"/>
  <c r="G1108" i="24"/>
  <c r="G1109" i="24"/>
  <c r="G1110" i="24"/>
  <c r="G1111" i="24"/>
  <c r="G1112" i="24"/>
  <c r="G1114" i="24"/>
  <c r="G1115" i="24"/>
  <c r="G1116" i="24"/>
  <c r="G1118" i="24"/>
  <c r="G1119" i="24"/>
  <c r="G1120" i="24"/>
  <c r="G1121" i="24"/>
  <c r="G1122" i="24"/>
  <c r="G1123" i="24"/>
  <c r="G1124" i="24"/>
  <c r="G1125" i="24"/>
  <c r="G1126" i="24"/>
  <c r="G1127" i="24"/>
  <c r="G1128" i="24"/>
  <c r="G1129" i="24"/>
  <c r="G1130" i="24"/>
  <c r="G1131" i="24"/>
  <c r="G1132" i="24"/>
  <c r="G1133" i="24"/>
  <c r="G1134" i="24"/>
  <c r="G1135" i="24"/>
  <c r="G1136" i="24"/>
  <c r="G1137" i="24"/>
  <c r="G1138" i="24"/>
  <c r="G1139" i="24"/>
  <c r="G1140" i="24"/>
  <c r="G1141" i="24"/>
  <c r="G1142" i="24"/>
  <c r="G1143" i="24"/>
  <c r="G1144" i="24"/>
  <c r="G1145" i="24"/>
  <c r="G1146" i="24"/>
  <c r="G1147" i="24"/>
  <c r="G1148" i="24"/>
  <c r="G1149" i="24"/>
  <c r="G1150" i="24"/>
  <c r="G1151" i="24"/>
  <c r="G1152" i="24"/>
  <c r="G1153" i="24"/>
  <c r="G1155" i="24"/>
  <c r="G1156" i="24"/>
  <c r="G1157" i="24"/>
  <c r="G1158" i="24"/>
  <c r="G1159" i="24"/>
  <c r="G1161" i="24"/>
  <c r="G1162" i="24"/>
  <c r="G1163" i="24"/>
  <c r="G1165" i="24"/>
  <c r="G1166" i="24"/>
  <c r="G1167" i="24"/>
  <c r="G1168" i="24"/>
  <c r="G1169" i="24"/>
  <c r="G1170" i="24"/>
  <c r="G1171" i="24"/>
  <c r="G1172" i="24"/>
  <c r="G1173" i="24"/>
  <c r="G1174" i="24"/>
  <c r="G1175" i="24"/>
  <c r="G1176" i="24"/>
  <c r="G1177" i="24"/>
  <c r="G1178" i="24"/>
  <c r="G1179" i="24"/>
  <c r="G1180" i="24"/>
  <c r="G1181" i="24"/>
  <c r="G1182" i="24"/>
  <c r="G1184" i="24"/>
  <c r="G1185" i="24"/>
  <c r="G1187" i="24"/>
  <c r="G1188" i="24"/>
  <c r="G1189" i="24"/>
  <c r="G1190" i="24"/>
  <c r="G1191" i="24"/>
  <c r="G1192" i="24"/>
  <c r="G1193" i="24"/>
  <c r="G1194" i="24"/>
  <c r="G1195" i="24"/>
  <c r="G1196" i="24"/>
  <c r="G1197" i="24"/>
  <c r="G1198" i="24"/>
  <c r="G1199" i="24"/>
  <c r="G1200" i="24"/>
  <c r="G1201" i="24"/>
  <c r="G1202" i="24"/>
  <c r="G1203" i="24"/>
  <c r="G1204" i="24"/>
  <c r="G1205" i="24"/>
  <c r="G1206" i="24"/>
  <c r="G1207" i="24"/>
  <c r="G1208" i="24"/>
  <c r="G1209" i="24"/>
  <c r="G1210" i="24"/>
  <c r="G1211" i="24"/>
  <c r="G1212" i="24"/>
  <c r="G1213" i="24"/>
  <c r="G1214" i="24"/>
  <c r="G1215" i="24"/>
  <c r="G1216" i="24"/>
  <c r="G1217" i="24"/>
  <c r="G1218" i="24"/>
  <c r="G1219" i="24"/>
  <c r="G1220" i="24"/>
  <c r="G1221" i="24"/>
  <c r="G1222" i="24"/>
  <c r="G1223" i="24"/>
  <c r="G1224" i="24"/>
  <c r="G1225" i="24"/>
  <c r="G1226" i="24"/>
  <c r="G1227" i="24"/>
  <c r="G1228" i="24"/>
  <c r="G1229" i="24"/>
  <c r="G1230" i="24"/>
  <c r="G1231" i="24"/>
  <c r="G1232" i="24"/>
  <c r="G1233" i="24"/>
  <c r="G1234" i="24"/>
  <c r="G1235" i="24"/>
  <c r="G1236" i="24"/>
  <c r="G1239" i="24"/>
  <c r="G1240" i="24"/>
  <c r="G1241" i="24"/>
  <c r="G1242" i="24"/>
  <c r="G1243" i="24"/>
  <c r="G1244" i="24"/>
  <c r="G1245" i="24"/>
  <c r="G1246" i="24"/>
  <c r="G1247" i="24"/>
  <c r="G1248" i="24"/>
  <c r="G1249" i="24"/>
  <c r="G1250" i="24"/>
  <c r="G1251" i="24"/>
  <c r="G1252" i="24"/>
  <c r="G1253" i="24"/>
  <c r="G1254" i="24"/>
  <c r="G1255" i="24"/>
  <c r="G1256" i="24"/>
  <c r="G1257" i="24"/>
  <c r="G1258" i="24"/>
  <c r="G1259" i="24"/>
  <c r="G1260" i="24"/>
  <c r="G1261" i="24"/>
  <c r="G1262" i="24"/>
  <c r="G1263" i="24"/>
  <c r="G1278" i="24"/>
  <c r="G1279" i="24"/>
  <c r="G1280" i="24"/>
  <c r="G1281" i="24"/>
  <c r="G1282" i="24"/>
  <c r="G1284" i="24"/>
  <c r="G1285" i="24"/>
  <c r="G1286" i="24"/>
  <c r="G1287" i="24"/>
  <c r="G1288" i="24"/>
  <c r="G1289" i="24"/>
  <c r="G1290" i="24"/>
  <c r="G1291" i="24"/>
  <c r="G1292" i="24"/>
  <c r="G1293" i="24"/>
  <c r="G1294" i="24"/>
  <c r="G1295" i="24"/>
  <c r="G1296" i="24"/>
  <c r="G1297" i="24"/>
  <c r="G1298" i="24"/>
  <c r="G1303" i="24"/>
  <c r="G1304" i="24"/>
  <c r="G1305" i="24"/>
  <c r="G1306" i="24"/>
  <c r="G1307" i="24"/>
  <c r="G1308" i="24"/>
  <c r="G1309" i="24"/>
  <c r="G1310" i="24"/>
  <c r="G1311" i="24"/>
  <c r="G1312" i="24"/>
  <c r="G1313" i="24"/>
  <c r="G1314" i="24"/>
  <c r="G1315" i="24"/>
  <c r="G1316" i="24"/>
  <c r="G1317" i="24"/>
  <c r="G1318" i="24"/>
  <c r="G1319" i="24"/>
  <c r="G1320" i="24"/>
  <c r="G1321" i="24"/>
  <c r="G1323" i="24"/>
  <c r="G1324" i="24"/>
  <c r="G1325" i="24"/>
  <c r="G1326" i="24"/>
  <c r="G1327" i="24"/>
  <c r="G1328" i="24"/>
  <c r="G1329" i="24"/>
  <c r="G1330" i="24"/>
  <c r="G1331" i="24"/>
  <c r="G1332" i="24"/>
  <c r="G1333" i="24"/>
  <c r="G1334" i="24"/>
  <c r="G1335" i="24"/>
  <c r="G1336" i="24"/>
  <c r="G1337" i="24"/>
  <c r="G1338" i="24"/>
  <c r="G1339" i="24"/>
  <c r="G1340" i="24"/>
  <c r="G1341" i="24"/>
  <c r="G1342" i="24"/>
  <c r="G1343" i="24"/>
  <c r="G1344" i="24"/>
  <c r="G1346" i="24"/>
  <c r="G1347" i="24"/>
  <c r="G1348" i="24"/>
  <c r="G1349" i="24"/>
  <c r="G1352" i="24"/>
  <c r="G8" i="24"/>
  <c r="E14" i="39"/>
  <c r="E16" i="39"/>
  <c r="E18" i="39"/>
  <c r="E19" i="39"/>
  <c r="E20" i="39"/>
  <c r="E21" i="39"/>
  <c r="E22" i="39"/>
  <c r="E24" i="39"/>
  <c r="E26" i="39"/>
  <c r="E27" i="39"/>
  <c r="E28" i="39"/>
  <c r="E30" i="39"/>
  <c r="E32" i="39"/>
  <c r="E34" i="39"/>
  <c r="E36" i="39"/>
  <c r="E37" i="39"/>
  <c r="E38" i="39"/>
  <c r="E39" i="39"/>
  <c r="E40" i="39"/>
  <c r="E42" i="39"/>
  <c r="E44" i="39"/>
  <c r="E46" i="39"/>
  <c r="E47" i="39"/>
  <c r="E48" i="39"/>
  <c r="E49" i="39"/>
  <c r="E50" i="39"/>
  <c r="E51" i="39"/>
  <c r="E52" i="39"/>
  <c r="E53" i="39"/>
  <c r="E54" i="39"/>
  <c r="E55" i="39"/>
  <c r="E56" i="39"/>
  <c r="E57" i="39"/>
  <c r="E58" i="39"/>
  <c r="E59" i="39"/>
  <c r="E60" i="39"/>
  <c r="E61" i="39"/>
  <c r="E62" i="39"/>
  <c r="E63" i="39"/>
  <c r="E64" i="39"/>
  <c r="E65" i="39"/>
  <c r="E66" i="39"/>
  <c r="E67" i="39"/>
  <c r="E68" i="39"/>
  <c r="E69" i="39"/>
  <c r="E70" i="39"/>
  <c r="E71" i="39"/>
  <c r="E72" i="39"/>
  <c r="E73" i="39"/>
  <c r="E74" i="39"/>
  <c r="E75" i="39"/>
  <c r="E76" i="39"/>
  <c r="E77" i="39"/>
  <c r="E78" i="39"/>
  <c r="E79" i="39"/>
  <c r="E80" i="39"/>
  <c r="E81" i="39"/>
  <c r="E82" i="39"/>
  <c r="E83" i="39"/>
  <c r="E84" i="39"/>
  <c r="E85" i="39"/>
  <c r="E86" i="39"/>
  <c r="E87" i="39"/>
  <c r="E88" i="39"/>
  <c r="E89" i="39"/>
  <c r="E90" i="39"/>
  <c r="E91" i="39"/>
  <c r="E92" i="39"/>
  <c r="E93" i="39"/>
  <c r="E94" i="39"/>
  <c r="E95" i="39"/>
  <c r="E96" i="39"/>
  <c r="E97" i="39"/>
  <c r="E98" i="39"/>
  <c r="E99" i="39"/>
  <c r="E100" i="39"/>
  <c r="E101" i="39"/>
  <c r="E102" i="39"/>
  <c r="E103" i="39"/>
  <c r="E104" i="39"/>
  <c r="E105" i="39"/>
  <c r="E106" i="39"/>
  <c r="E107" i="39"/>
  <c r="E108" i="39"/>
  <c r="E109" i="39"/>
  <c r="E110" i="39"/>
  <c r="E111" i="39"/>
  <c r="E114" i="39"/>
  <c r="E115" i="39"/>
  <c r="E116" i="39"/>
  <c r="E117" i="39"/>
  <c r="E118" i="39"/>
  <c r="E119" i="39"/>
  <c r="E120" i="39"/>
  <c r="E121" i="39"/>
  <c r="E122" i="39"/>
  <c r="E123" i="39"/>
  <c r="E124" i="39"/>
  <c r="E125" i="39"/>
  <c r="E126" i="39"/>
  <c r="E127" i="39"/>
  <c r="E128" i="39"/>
  <c r="E129" i="39"/>
  <c r="E130" i="39"/>
  <c r="E131" i="39"/>
  <c r="E132" i="39"/>
  <c r="E133" i="39"/>
  <c r="E134" i="39"/>
  <c r="E135" i="39"/>
  <c r="E136" i="39"/>
  <c r="E137" i="39"/>
  <c r="E138" i="39"/>
  <c r="E139" i="39"/>
  <c r="E140" i="39"/>
  <c r="E141" i="39"/>
  <c r="E143" i="39"/>
  <c r="E144" i="39"/>
  <c r="E145" i="39"/>
  <c r="E146" i="39"/>
  <c r="E147" i="39"/>
  <c r="E148" i="39"/>
  <c r="E149" i="39"/>
  <c r="E154" i="39"/>
  <c r="E155" i="39"/>
  <c r="E156" i="39"/>
  <c r="E157" i="39"/>
  <c r="E158" i="39"/>
  <c r="E159" i="39"/>
  <c r="E160" i="39"/>
  <c r="E161" i="39"/>
  <c r="E162" i="39"/>
  <c r="E164" i="39"/>
  <c r="E165" i="39"/>
  <c r="E166" i="39"/>
  <c r="E167" i="39"/>
  <c r="E168" i="39"/>
  <c r="E169" i="39"/>
  <c r="E170" i="39"/>
  <c r="E171" i="39"/>
  <c r="E172" i="39"/>
  <c r="E173" i="39"/>
  <c r="E175" i="39"/>
  <c r="E176" i="39"/>
  <c r="E177" i="39"/>
  <c r="E178" i="39"/>
  <c r="E182" i="39"/>
  <c r="E184" i="39"/>
  <c r="E188" i="39"/>
  <c r="E190" i="39"/>
  <c r="E191" i="39"/>
  <c r="E192" i="39"/>
  <c r="E193" i="39"/>
  <c r="E194" i="39"/>
  <c r="E195" i="39"/>
  <c r="E196" i="39"/>
  <c r="E197" i="39"/>
  <c r="E198" i="39"/>
  <c r="E199" i="39"/>
  <c r="E200" i="39"/>
  <c r="E201" i="39"/>
  <c r="E202" i="39"/>
  <c r="E203" i="39"/>
  <c r="E204" i="39"/>
  <c r="E205" i="39"/>
  <c r="E206" i="39"/>
  <c r="E207" i="39"/>
  <c r="E208" i="39"/>
  <c r="E209" i="39"/>
  <c r="E210" i="39"/>
  <c r="E211" i="39"/>
  <c r="E212" i="39"/>
  <c r="E213" i="39"/>
  <c r="E214" i="39"/>
  <c r="E215" i="39"/>
  <c r="E216" i="39"/>
  <c r="E217" i="39"/>
  <c r="E218" i="39"/>
  <c r="E219" i="39"/>
  <c r="E220" i="39"/>
  <c r="E221" i="39"/>
  <c r="E222" i="39"/>
  <c r="E223" i="39"/>
  <c r="E224" i="39"/>
  <c r="E225" i="39"/>
  <c r="E226" i="39"/>
  <c r="E227" i="39"/>
  <c r="E228" i="39"/>
  <c r="E229" i="39"/>
  <c r="E230" i="39"/>
  <c r="E231" i="39"/>
  <c r="E232" i="39"/>
  <c r="E233" i="39"/>
  <c r="E234" i="39"/>
  <c r="E235" i="39"/>
  <c r="E236" i="39"/>
  <c r="E237" i="39"/>
  <c r="E238" i="39"/>
  <c r="E239" i="39"/>
  <c r="E240" i="39"/>
  <c r="E241" i="39"/>
  <c r="E242" i="39"/>
  <c r="E243" i="39"/>
  <c r="E244" i="39"/>
  <c r="E245" i="39"/>
  <c r="E246" i="39"/>
  <c r="E247" i="39"/>
  <c r="E248" i="39"/>
  <c r="E249" i="39"/>
  <c r="E250" i="39"/>
  <c r="E251" i="39"/>
  <c r="E252" i="39"/>
  <c r="E253" i="39"/>
  <c r="E254" i="39"/>
  <c r="E255" i="39"/>
  <c r="E257" i="39"/>
  <c r="E258" i="39"/>
  <c r="E259" i="39"/>
  <c r="E260" i="39"/>
  <c r="E261" i="39"/>
  <c r="E262" i="39"/>
  <c r="E263" i="39"/>
  <c r="E264" i="39"/>
  <c r="E265" i="39"/>
  <c r="E266" i="39"/>
  <c r="E267" i="39"/>
  <c r="E268" i="39"/>
  <c r="E269" i="39"/>
  <c r="E270" i="39"/>
  <c r="E271" i="39"/>
  <c r="E272" i="39"/>
  <c r="E273" i="39"/>
  <c r="E274" i="39"/>
  <c r="E275" i="39"/>
  <c r="E276" i="39"/>
  <c r="E277" i="39"/>
  <c r="E278" i="39"/>
  <c r="E279" i="39"/>
  <c r="E280" i="39"/>
  <c r="E281" i="39"/>
  <c r="E282" i="39"/>
  <c r="E283" i="39"/>
  <c r="E284" i="39"/>
  <c r="E285" i="39"/>
  <c r="E286" i="39"/>
  <c r="E287" i="39"/>
  <c r="E288" i="39"/>
  <c r="E289" i="39"/>
  <c r="E290" i="39"/>
  <c r="E291" i="39"/>
  <c r="E292" i="39"/>
  <c r="E293" i="39"/>
  <c r="E294" i="39"/>
  <c r="E295" i="39"/>
  <c r="E296" i="39"/>
  <c r="E297" i="39"/>
  <c r="E298" i="39"/>
  <c r="E299" i="39"/>
  <c r="E300" i="39"/>
  <c r="E301" i="39"/>
  <c r="E302" i="39"/>
  <c r="E303" i="39"/>
  <c r="E304" i="39"/>
  <c r="E305" i="39"/>
  <c r="E306" i="39"/>
  <c r="E307" i="39"/>
  <c r="E308" i="39"/>
  <c r="E309" i="39"/>
  <c r="E310" i="39"/>
  <c r="E311" i="39"/>
  <c r="E312" i="39"/>
  <c r="E313" i="39"/>
  <c r="E314" i="39"/>
  <c r="E315" i="39"/>
  <c r="E316" i="39"/>
  <c r="E317" i="39"/>
  <c r="E318" i="39"/>
  <c r="E319" i="39"/>
  <c r="E320" i="39"/>
  <c r="E321" i="39"/>
  <c r="E322" i="39"/>
  <c r="F23" i="20"/>
  <c r="G26" i="27"/>
  <c r="G71" i="27"/>
  <c r="C184" i="39"/>
  <c r="C182" i="39"/>
  <c r="C181" i="39"/>
  <c r="E181" i="39"/>
  <c r="C188" i="39"/>
  <c r="G43" i="39"/>
  <c r="C44" i="39"/>
  <c r="C43" i="39"/>
  <c r="E43" i="39"/>
  <c r="C32" i="39"/>
  <c r="C26" i="39"/>
  <c r="D701" i="40"/>
  <c r="M701" i="40"/>
  <c r="G20" i="15"/>
  <c r="I20" i="15"/>
  <c r="C658" i="42"/>
  <c r="F658" i="42"/>
  <c r="D1359" i="24"/>
  <c r="D1358" i="24"/>
  <c r="H60" i="22"/>
  <c r="F93" i="1"/>
  <c r="D127" i="27"/>
  <c r="F138" i="1"/>
  <c r="G138" i="1"/>
  <c r="G130" i="1"/>
  <c r="F130" i="1"/>
  <c r="F120" i="1"/>
  <c r="J72" i="22"/>
  <c r="I72" i="22"/>
  <c r="I58" i="22"/>
  <c r="I57" i="22"/>
  <c r="J59" i="22"/>
  <c r="I59" i="22"/>
  <c r="O109" i="1"/>
  <c r="N109" i="1"/>
  <c r="O92" i="1"/>
  <c r="N92" i="1"/>
  <c r="H233" i="22"/>
  <c r="H223" i="22"/>
  <c r="H222" i="22"/>
  <c r="I223" i="22"/>
  <c r="J223" i="22"/>
  <c r="K25" i="22"/>
  <c r="G26" i="22"/>
  <c r="K26" i="22"/>
  <c r="H27" i="22"/>
  <c r="G27" i="22"/>
  <c r="K27" i="22"/>
  <c r="G25" i="22"/>
  <c r="J24" i="22"/>
  <c r="J13" i="22"/>
  <c r="I24" i="22"/>
  <c r="I13" i="22"/>
  <c r="I12" i="22"/>
  <c r="H24" i="22"/>
  <c r="G24" i="22"/>
  <c r="I33" i="15"/>
  <c r="L33" i="15"/>
  <c r="I96" i="15"/>
  <c r="L95" i="15"/>
  <c r="L91" i="15"/>
  <c r="L90" i="15"/>
  <c r="L87" i="15"/>
  <c r="L86" i="15"/>
  <c r="L83" i="15"/>
  <c r="L79" i="15"/>
  <c r="L78" i="15"/>
  <c r="L72" i="15"/>
  <c r="K22" i="15"/>
  <c r="I68" i="15"/>
  <c r="I66" i="15"/>
  <c r="I63" i="15"/>
  <c r="L63" i="15"/>
  <c r="I62" i="15"/>
  <c r="L62" i="15"/>
  <c r="I61" i="15"/>
  <c r="I60" i="15"/>
  <c r="L60" i="15"/>
  <c r="I59" i="15"/>
  <c r="I48" i="15"/>
  <c r="L48" i="15"/>
  <c r="I45" i="15"/>
  <c r="L45" i="15"/>
  <c r="I41" i="15"/>
  <c r="I40" i="15"/>
  <c r="L40" i="15"/>
  <c r="D45" i="20"/>
  <c r="C45" i="20"/>
  <c r="M1564" i="40"/>
  <c r="D1563" i="40"/>
  <c r="M1563" i="40"/>
  <c r="O1563" i="40"/>
  <c r="D1561" i="40"/>
  <c r="M1561" i="40"/>
  <c r="D1554" i="40"/>
  <c r="M1554" i="40"/>
  <c r="D1553" i="40"/>
  <c r="D1552" i="40"/>
  <c r="D1551" i="40"/>
  <c r="D1550" i="40"/>
  <c r="M1550" i="40"/>
  <c r="D1549" i="40"/>
  <c r="M1549" i="40"/>
  <c r="D1544" i="40"/>
  <c r="D1539" i="40"/>
  <c r="M1539" i="40"/>
  <c r="D1538" i="40"/>
  <c r="M1538" i="40"/>
  <c r="D1536" i="40"/>
  <c r="D1535" i="40"/>
  <c r="D1533" i="40"/>
  <c r="M1533" i="40"/>
  <c r="D1531" i="40"/>
  <c r="D1530" i="40"/>
  <c r="D1529" i="40"/>
  <c r="D1528" i="40"/>
  <c r="M1528" i="40"/>
  <c r="D1526" i="40"/>
  <c r="D1522" i="40"/>
  <c r="D1521" i="40"/>
  <c r="M1521" i="40"/>
  <c r="D1520" i="40"/>
  <c r="M1520" i="40"/>
  <c r="D1519" i="40"/>
  <c r="D1517" i="40"/>
  <c r="D1516" i="40"/>
  <c r="M1516" i="40"/>
  <c r="D1514" i="40"/>
  <c r="M1514" i="40"/>
  <c r="D1509" i="40"/>
  <c r="D1507" i="40"/>
  <c r="D1506" i="40"/>
  <c r="D1504" i="40"/>
  <c r="D1502" i="40"/>
  <c r="D1491" i="40"/>
  <c r="G1201" i="40"/>
  <c r="D1201" i="40"/>
  <c r="M1201" i="40"/>
  <c r="G1199" i="40"/>
  <c r="G1198" i="40"/>
  <c r="G1197" i="40"/>
  <c r="G1196" i="40"/>
  <c r="D1196" i="40"/>
  <c r="G1185" i="40"/>
  <c r="D1185" i="40"/>
  <c r="G1183" i="40"/>
  <c r="G1175" i="40"/>
  <c r="G1164" i="40"/>
  <c r="D1164" i="40"/>
  <c r="D1123" i="40"/>
  <c r="D1122" i="40"/>
  <c r="D1121" i="40"/>
  <c r="D1120" i="40"/>
  <c r="M1120" i="40"/>
  <c r="D1119" i="40"/>
  <c r="D1118" i="40"/>
  <c r="D1117" i="40"/>
  <c r="M1117" i="40"/>
  <c r="D1116" i="40"/>
  <c r="M1116" i="40"/>
  <c r="D1111" i="40"/>
  <c r="D1110" i="40"/>
  <c r="D1106" i="40"/>
  <c r="M1106" i="40"/>
  <c r="D1105" i="40"/>
  <c r="M1105" i="40"/>
  <c r="D1103" i="40"/>
  <c r="D1096" i="40"/>
  <c r="D1095" i="40"/>
  <c r="M1095" i="40"/>
  <c r="D1094" i="40"/>
  <c r="M1094" i="40"/>
  <c r="D1093" i="40"/>
  <c r="D1092" i="40"/>
  <c r="M1092" i="40"/>
  <c r="D1090" i="40"/>
  <c r="D1089" i="40"/>
  <c r="D1088" i="40"/>
  <c r="M1085" i="40"/>
  <c r="D1084" i="40"/>
  <c r="D1083" i="40"/>
  <c r="M1083" i="40"/>
  <c r="D1080" i="40"/>
  <c r="D1076" i="40"/>
  <c r="D1073" i="40"/>
  <c r="D1072" i="40"/>
  <c r="D1069" i="40"/>
  <c r="D1066" i="40"/>
  <c r="D1063" i="40"/>
  <c r="D143" i="40"/>
  <c r="M143" i="40"/>
  <c r="D141" i="40"/>
  <c r="D139" i="40"/>
  <c r="D138" i="40"/>
  <c r="M138" i="40"/>
  <c r="D136" i="40"/>
  <c r="M136" i="40"/>
  <c r="D131" i="40"/>
  <c r="D125" i="40"/>
  <c r="D123" i="40"/>
  <c r="M123" i="40"/>
  <c r="D116" i="40"/>
  <c r="D115" i="40"/>
  <c r="D109" i="40"/>
  <c r="D108" i="40"/>
  <c r="D105" i="40"/>
  <c r="M105" i="40"/>
  <c r="D93" i="40"/>
  <c r="D89" i="40"/>
  <c r="M89" i="40"/>
  <c r="D86" i="40"/>
  <c r="M86" i="40"/>
  <c r="M1562" i="40"/>
  <c r="E669" i="42"/>
  <c r="E1112" i="24"/>
  <c r="C1112" i="24"/>
  <c r="E1103" i="24"/>
  <c r="C1103" i="24"/>
  <c r="D32" i="31"/>
  <c r="E32" i="31"/>
  <c r="F32" i="31"/>
  <c r="G32" i="31"/>
  <c r="C32" i="31"/>
  <c r="D37" i="31"/>
  <c r="E37" i="31"/>
  <c r="C37" i="31"/>
  <c r="C31" i="31"/>
  <c r="D1566" i="40"/>
  <c r="H12" i="31"/>
  <c r="H13" i="31"/>
  <c r="H14" i="31"/>
  <c r="H15" i="31"/>
  <c r="H16" i="31"/>
  <c r="H17" i="31"/>
  <c r="H18" i="31"/>
  <c r="H19" i="31"/>
  <c r="H20" i="31"/>
  <c r="H21" i="31"/>
  <c r="H22" i="31"/>
  <c r="H23" i="31"/>
  <c r="H24" i="31"/>
  <c r="H25" i="31"/>
  <c r="H26" i="31"/>
  <c r="H27" i="31"/>
  <c r="H28" i="31"/>
  <c r="H29" i="31"/>
  <c r="H30" i="31"/>
  <c r="H32" i="31"/>
  <c r="H33" i="31"/>
  <c r="H34" i="31"/>
  <c r="H35" i="31"/>
  <c r="H36" i="31"/>
  <c r="H37" i="31"/>
  <c r="H38" i="31"/>
  <c r="H39" i="31"/>
  <c r="H40" i="31"/>
  <c r="H41" i="31"/>
  <c r="H42" i="31"/>
  <c r="H43" i="31"/>
  <c r="H44" i="31"/>
  <c r="H45" i="31"/>
  <c r="H46" i="31"/>
  <c r="H47" i="31"/>
  <c r="H48" i="31"/>
  <c r="H49" i="31"/>
  <c r="H50" i="31"/>
  <c r="H51" i="31"/>
  <c r="J23" i="31"/>
  <c r="D23" i="31"/>
  <c r="E23" i="31"/>
  <c r="C23" i="31"/>
  <c r="D11" i="31"/>
  <c r="E11" i="31"/>
  <c r="C11" i="31"/>
  <c r="H11" i="31"/>
  <c r="P92" i="1"/>
  <c r="E23" i="20"/>
  <c r="D23" i="20"/>
  <c r="E127" i="27"/>
  <c r="E138" i="27"/>
  <c r="D138" i="27"/>
  <c r="C152" i="27"/>
  <c r="G152" i="27"/>
  <c r="C153" i="27"/>
  <c r="G153" i="27"/>
  <c r="C154" i="27"/>
  <c r="G154" i="27"/>
  <c r="M1531" i="40"/>
  <c r="M1526" i="40"/>
  <c r="M1558" i="40"/>
  <c r="D1557" i="40"/>
  <c r="M1557" i="40"/>
  <c r="D1125" i="40"/>
  <c r="C1264" i="24"/>
  <c r="G1264" i="24"/>
  <c r="C1265" i="24"/>
  <c r="G1265" i="24"/>
  <c r="C1266" i="24"/>
  <c r="G1266" i="24"/>
  <c r="C1267" i="24"/>
  <c r="G1267" i="24"/>
  <c r="C1268" i="24"/>
  <c r="G1268" i="24"/>
  <c r="C1269" i="24"/>
  <c r="G1269" i="24"/>
  <c r="C1270" i="24"/>
  <c r="G1270" i="24"/>
  <c r="C1271" i="24"/>
  <c r="G1271" i="24"/>
  <c r="C1272" i="24"/>
  <c r="G1272" i="24"/>
  <c r="C1273" i="24"/>
  <c r="G1273" i="24"/>
  <c r="C1274" i="24"/>
  <c r="G1274" i="24"/>
  <c r="C1275" i="24"/>
  <c r="G1275" i="24"/>
  <c r="C1276" i="24"/>
  <c r="F1276" i="24"/>
  <c r="D1277" i="24"/>
  <c r="O1119" i="40"/>
  <c r="M1121" i="40"/>
  <c r="F453" i="24"/>
  <c r="F454" i="24"/>
  <c r="F455" i="24"/>
  <c r="F456" i="24"/>
  <c r="F457" i="24"/>
  <c r="F458" i="24"/>
  <c r="F459" i="24"/>
  <c r="F460" i="24"/>
  <c r="F461" i="24"/>
  <c r="F462" i="24"/>
  <c r="F463" i="24"/>
  <c r="F464" i="24"/>
  <c r="F465" i="24"/>
  <c r="F466" i="24"/>
  <c r="F467" i="24"/>
  <c r="F468" i="24"/>
  <c r="F469" i="24"/>
  <c r="F470" i="24"/>
  <c r="F471" i="24"/>
  <c r="F472" i="24"/>
  <c r="F474" i="24"/>
  <c r="F475" i="24"/>
  <c r="F476" i="24"/>
  <c r="D473" i="24"/>
  <c r="O1085" i="40"/>
  <c r="E473" i="24"/>
  <c r="M785" i="40"/>
  <c r="D783" i="40"/>
  <c r="M783" i="40"/>
  <c r="E299" i="1"/>
  <c r="F29" i="1"/>
  <c r="P28" i="1"/>
  <c r="O28" i="1"/>
  <c r="N28" i="1"/>
  <c r="F28" i="1"/>
  <c r="P313" i="1"/>
  <c r="O313" i="1"/>
  <c r="N313" i="1"/>
  <c r="F313" i="1"/>
  <c r="C46" i="31"/>
  <c r="E45" i="31"/>
  <c r="E43" i="31"/>
  <c r="C45" i="31"/>
  <c r="C43" i="31"/>
  <c r="D45" i="31"/>
  <c r="D29" i="31"/>
  <c r="C29" i="31"/>
  <c r="E30" i="31"/>
  <c r="D28" i="31"/>
  <c r="C28" i="31"/>
  <c r="F278" i="1"/>
  <c r="F279" i="1"/>
  <c r="F280" i="1"/>
  <c r="F276" i="1"/>
  <c r="J295" i="1"/>
  <c r="J294" i="1"/>
  <c r="J293" i="1"/>
  <c r="F295" i="1"/>
  <c r="P244" i="1"/>
  <c r="O244" i="1"/>
  <c r="N244" i="1"/>
  <c r="P243" i="1"/>
  <c r="O243" i="1"/>
  <c r="N243" i="1"/>
  <c r="P240" i="1"/>
  <c r="O240" i="1"/>
  <c r="N240" i="1"/>
  <c r="P239" i="1"/>
  <c r="O239" i="1"/>
  <c r="N239" i="1"/>
  <c r="V235" i="1"/>
  <c r="C847" i="24"/>
  <c r="D847" i="24"/>
  <c r="C983" i="24"/>
  <c r="D983" i="24"/>
  <c r="C8" i="24"/>
  <c r="D8" i="24"/>
  <c r="F8" i="24"/>
  <c r="E963" i="40"/>
  <c r="X963" i="40"/>
  <c r="E966" i="40"/>
  <c r="E915" i="40"/>
  <c r="F207" i="1"/>
  <c r="F33" i="1"/>
  <c r="F22" i="1"/>
  <c r="G19" i="1"/>
  <c r="F19" i="1"/>
  <c r="G208" i="40"/>
  <c r="G146" i="40"/>
  <c r="L57" i="15"/>
  <c r="L56" i="15"/>
  <c r="L55" i="15"/>
  <c r="G49" i="22"/>
  <c r="K49" i="22"/>
  <c r="G50" i="22"/>
  <c r="K50" i="22"/>
  <c r="H48" i="22"/>
  <c r="G48" i="22"/>
  <c r="K48" i="22"/>
  <c r="I48" i="22"/>
  <c r="J48" i="22"/>
  <c r="H40" i="22"/>
  <c r="I40" i="22"/>
  <c r="J40" i="22"/>
  <c r="G41" i="22"/>
  <c r="G40" i="22"/>
  <c r="I24" i="15"/>
  <c r="M1127" i="40"/>
  <c r="D1126" i="40"/>
  <c r="O1126" i="40"/>
  <c r="C22" i="31"/>
  <c r="P70" i="1"/>
  <c r="O70" i="1"/>
  <c r="N70" i="1"/>
  <c r="M70" i="1"/>
  <c r="L70" i="1"/>
  <c r="K70" i="1"/>
  <c r="G70" i="1"/>
  <c r="H70" i="1"/>
  <c r="I70" i="1"/>
  <c r="F70" i="1"/>
  <c r="P65" i="1"/>
  <c r="O65" i="1"/>
  <c r="N65" i="1"/>
  <c r="M65" i="1"/>
  <c r="L65" i="1"/>
  <c r="K65" i="1"/>
  <c r="G65" i="1"/>
  <c r="H65" i="1"/>
  <c r="I65" i="1"/>
  <c r="F65" i="1"/>
  <c r="P56" i="1"/>
  <c r="O56" i="1"/>
  <c r="T56" i="1"/>
  <c r="N56" i="1"/>
  <c r="M56" i="1"/>
  <c r="L56" i="1"/>
  <c r="K56" i="1"/>
  <c r="G56" i="1"/>
  <c r="H56" i="1"/>
  <c r="I56" i="1"/>
  <c r="F56" i="1"/>
  <c r="L53" i="1"/>
  <c r="M53" i="1"/>
  <c r="N53" i="1"/>
  <c r="O53" i="1"/>
  <c r="P53" i="1"/>
  <c r="K53" i="1"/>
  <c r="G53" i="1"/>
  <c r="H53" i="1"/>
  <c r="I53" i="1"/>
  <c r="E53" i="1"/>
  <c r="F53" i="1"/>
  <c r="P48" i="1"/>
  <c r="O48" i="1"/>
  <c r="N48" i="1"/>
  <c r="J48" i="1"/>
  <c r="M48" i="1"/>
  <c r="L48" i="1"/>
  <c r="K48" i="1"/>
  <c r="G48" i="1"/>
  <c r="H48" i="1"/>
  <c r="I48" i="1"/>
  <c r="F48" i="1"/>
  <c r="E48" i="1"/>
  <c r="R48" i="1"/>
  <c r="L46" i="1"/>
  <c r="M46" i="1"/>
  <c r="N46" i="1"/>
  <c r="O46" i="1"/>
  <c r="P46" i="1"/>
  <c r="G46" i="1"/>
  <c r="H46" i="1"/>
  <c r="I46" i="1"/>
  <c r="P38" i="1"/>
  <c r="O38" i="1"/>
  <c r="N38" i="1"/>
  <c r="M38" i="1"/>
  <c r="L38" i="1"/>
  <c r="K38" i="1"/>
  <c r="G38" i="1"/>
  <c r="H38" i="1"/>
  <c r="I38" i="1"/>
  <c r="F38" i="1"/>
  <c r="F37" i="1"/>
  <c r="G37" i="1"/>
  <c r="H37" i="1"/>
  <c r="I37" i="1"/>
  <c r="K37" i="1"/>
  <c r="L37" i="1"/>
  <c r="M37" i="1"/>
  <c r="N37" i="1"/>
  <c r="O37" i="1"/>
  <c r="T37" i="1"/>
  <c r="P37" i="1"/>
  <c r="P74" i="1"/>
  <c r="J49" i="1"/>
  <c r="E49" i="1"/>
  <c r="R49" i="1"/>
  <c r="F204" i="1"/>
  <c r="D22" i="27"/>
  <c r="D78" i="27"/>
  <c r="D70" i="27"/>
  <c r="D69" i="27"/>
  <c r="D66" i="27"/>
  <c r="D55" i="27"/>
  <c r="D54" i="27"/>
  <c r="D39" i="27"/>
  <c r="D17" i="27"/>
  <c r="D15" i="27"/>
  <c r="D14" i="27"/>
  <c r="F182" i="1"/>
  <c r="N178" i="1"/>
  <c r="F80" i="1"/>
  <c r="F488" i="40"/>
  <c r="F493" i="40"/>
  <c r="F491" i="40"/>
  <c r="F490" i="40"/>
  <c r="F489" i="40"/>
  <c r="F478" i="40"/>
  <c r="F477" i="40"/>
  <c r="F475" i="40"/>
  <c r="D475" i="40"/>
  <c r="M475" i="40"/>
  <c r="F468" i="40"/>
  <c r="F461" i="40"/>
  <c r="D461" i="40"/>
  <c r="M461" i="40"/>
  <c r="F441" i="40"/>
  <c r="F440" i="40"/>
  <c r="E445" i="40"/>
  <c r="D445" i="40"/>
  <c r="M445" i="40"/>
  <c r="E449" i="40"/>
  <c r="D449" i="40"/>
  <c r="M449" i="40"/>
  <c r="E442" i="40"/>
  <c r="E494" i="40"/>
  <c r="E491" i="40"/>
  <c r="E490" i="40"/>
  <c r="D490" i="40"/>
  <c r="M490" i="40"/>
  <c r="E489" i="40"/>
  <c r="D489" i="40"/>
  <c r="M489" i="40"/>
  <c r="E488" i="40"/>
  <c r="D488" i="40"/>
  <c r="M488" i="40"/>
  <c r="E484" i="40"/>
  <c r="D484" i="40"/>
  <c r="M484" i="40"/>
  <c r="E483" i="40"/>
  <c r="E482" i="40"/>
  <c r="E477" i="40"/>
  <c r="D477" i="40"/>
  <c r="M477" i="40"/>
  <c r="E473" i="40"/>
  <c r="D473" i="40"/>
  <c r="M473" i="40"/>
  <c r="E469" i="40"/>
  <c r="D469" i="40"/>
  <c r="M469" i="40"/>
  <c r="E468" i="40"/>
  <c r="D468" i="40"/>
  <c r="M468" i="40"/>
  <c r="E467" i="40"/>
  <c r="E463" i="40"/>
  <c r="D463" i="40"/>
  <c r="M463" i="40"/>
  <c r="E460" i="40"/>
  <c r="E459" i="40"/>
  <c r="E458" i="40"/>
  <c r="E455" i="40"/>
  <c r="D455" i="40"/>
  <c r="M455" i="40"/>
  <c r="E451" i="40"/>
  <c r="E448" i="40"/>
  <c r="D448" i="40"/>
  <c r="E446" i="40"/>
  <c r="E441" i="40"/>
  <c r="D441" i="40"/>
  <c r="M441" i="40"/>
  <c r="E440" i="40"/>
  <c r="E435" i="40"/>
  <c r="D435" i="40"/>
  <c r="M435" i="40"/>
  <c r="E910" i="24"/>
  <c r="E941" i="24"/>
  <c r="O1538" i="40"/>
  <c r="C910" i="24"/>
  <c r="D1537" i="40"/>
  <c r="M1535" i="40"/>
  <c r="D1527" i="40"/>
  <c r="M1522" i="40"/>
  <c r="D1508" i="40"/>
  <c r="M1508" i="40"/>
  <c r="M1502" i="40"/>
  <c r="D1183" i="24"/>
  <c r="E1183" i="24"/>
  <c r="O1550" i="40"/>
  <c r="M1119" i="40"/>
  <c r="M1118" i="40"/>
  <c r="M1111" i="40"/>
  <c r="M1103" i="40"/>
  <c r="D1102" i="40"/>
  <c r="M1102" i="40"/>
  <c r="D1075" i="40"/>
  <c r="M1075" i="40"/>
  <c r="D1067" i="40"/>
  <c r="M1067" i="40"/>
  <c r="M1088" i="40"/>
  <c r="F183" i="24"/>
  <c r="F184" i="24"/>
  <c r="F185" i="24"/>
  <c r="F186" i="24"/>
  <c r="F187" i="24"/>
  <c r="F188" i="24"/>
  <c r="F189" i="24"/>
  <c r="F190" i="24"/>
  <c r="F201" i="24"/>
  <c r="F202" i="24"/>
  <c r="F203" i="24"/>
  <c r="F204" i="24"/>
  <c r="F205" i="24"/>
  <c r="F206" i="24"/>
  <c r="F207" i="24"/>
  <c r="F208" i="24"/>
  <c r="F209" i="24"/>
  <c r="F210" i="24"/>
  <c r="F211" i="24"/>
  <c r="F212" i="24"/>
  <c r="F213" i="24"/>
  <c r="F214" i="24"/>
  <c r="F215" i="24"/>
  <c r="F216" i="24"/>
  <c r="F217" i="24"/>
  <c r="F218" i="24"/>
  <c r="F220" i="24"/>
  <c r="F221" i="24"/>
  <c r="F222" i="24"/>
  <c r="E511" i="24"/>
  <c r="F511" i="24"/>
  <c r="C511" i="24"/>
  <c r="F512" i="24"/>
  <c r="F513" i="24"/>
  <c r="F514" i="24"/>
  <c r="F515" i="24"/>
  <c r="F516" i="24"/>
  <c r="F517" i="24"/>
  <c r="F518" i="24"/>
  <c r="F519" i="24"/>
  <c r="F520" i="24"/>
  <c r="F521" i="24"/>
  <c r="F522" i="24"/>
  <c r="F524" i="24"/>
  <c r="F525" i="24"/>
  <c r="F1202" i="24"/>
  <c r="F1203" i="24"/>
  <c r="F1204" i="24"/>
  <c r="F1205" i="24"/>
  <c r="F1206" i="24"/>
  <c r="F1207" i="24"/>
  <c r="F1233" i="24"/>
  <c r="F1234" i="24"/>
  <c r="F1235" i="24"/>
  <c r="F1236" i="24"/>
  <c r="F407" i="24"/>
  <c r="F408" i="24"/>
  <c r="F409" i="24"/>
  <c r="F410" i="24"/>
  <c r="F411" i="24"/>
  <c r="F412" i="24"/>
  <c r="F413" i="24"/>
  <c r="F414" i="24"/>
  <c r="F415" i="24"/>
  <c r="F416" i="24"/>
  <c r="F1329" i="24"/>
  <c r="F1330" i="24"/>
  <c r="F1331" i="24"/>
  <c r="F1332" i="24"/>
  <c r="F1333" i="24"/>
  <c r="F1334" i="24"/>
  <c r="F1335" i="24"/>
  <c r="F1336" i="24"/>
  <c r="F1337" i="24"/>
  <c r="F1338" i="24"/>
  <c r="F1339" i="24"/>
  <c r="F1340" i="24"/>
  <c r="F1346" i="24"/>
  <c r="F1349" i="24"/>
  <c r="F530" i="24"/>
  <c r="E529" i="24"/>
  <c r="C529" i="24"/>
  <c r="C1186" i="24"/>
  <c r="G1186" i="24"/>
  <c r="N39" i="1"/>
  <c r="F125" i="1"/>
  <c r="O253" i="1"/>
  <c r="N253" i="1"/>
  <c r="O245" i="1"/>
  <c r="N245" i="1"/>
  <c r="L42" i="15"/>
  <c r="C472" i="36"/>
  <c r="E472" i="36"/>
  <c r="E404" i="41"/>
  <c r="E547" i="41"/>
  <c r="C427" i="42"/>
  <c r="F427" i="42"/>
  <c r="C219" i="42"/>
  <c r="F219" i="42"/>
  <c r="C54" i="42"/>
  <c r="F54" i="42"/>
  <c r="E330" i="42"/>
  <c r="C361" i="42"/>
  <c r="F361" i="42"/>
  <c r="C394" i="42"/>
  <c r="F394" i="42"/>
  <c r="E131" i="42"/>
  <c r="E263" i="42"/>
  <c r="C593" i="42"/>
  <c r="F593" i="42"/>
  <c r="C570" i="42"/>
  <c r="F570" i="42"/>
  <c r="E537" i="42"/>
  <c r="C453" i="42"/>
  <c r="F453" i="42"/>
  <c r="C372" i="42"/>
  <c r="F372" i="42"/>
  <c r="C10" i="42"/>
  <c r="F10" i="42"/>
  <c r="E20" i="42"/>
  <c r="D20" i="42"/>
  <c r="C113" i="39"/>
  <c r="C19" i="42"/>
  <c r="F19" i="42"/>
  <c r="C18" i="42"/>
  <c r="F18" i="42"/>
  <c r="C17" i="42"/>
  <c r="F17" i="42"/>
  <c r="C16" i="42"/>
  <c r="F16" i="42"/>
  <c r="C15" i="42"/>
  <c r="F15" i="42"/>
  <c r="C14" i="42"/>
  <c r="F14" i="42"/>
  <c r="C13" i="42"/>
  <c r="F13" i="42"/>
  <c r="C12" i="42"/>
  <c r="F12" i="42"/>
  <c r="C11" i="42"/>
  <c r="F11" i="42"/>
  <c r="D161" i="27"/>
  <c r="E160" i="27"/>
  <c r="E158" i="27"/>
  <c r="F1328" i="24"/>
  <c r="F1327" i="24"/>
  <c r="F1326" i="24"/>
  <c r="F1325" i="24"/>
  <c r="F1324" i="24"/>
  <c r="F1323" i="24"/>
  <c r="F1321" i="24"/>
  <c r="F1320" i="24"/>
  <c r="F1319" i="24"/>
  <c r="F1318" i="24"/>
  <c r="F1317" i="24"/>
  <c r="F1316" i="24"/>
  <c r="F1315" i="24"/>
  <c r="F1314" i="24"/>
  <c r="F1313" i="24"/>
  <c r="F1312" i="24"/>
  <c r="F1311" i="24"/>
  <c r="F1310" i="24"/>
  <c r="F1309" i="24"/>
  <c r="F1308" i="24"/>
  <c r="F1307" i="24"/>
  <c r="F1306" i="24"/>
  <c r="F1305" i="24"/>
  <c r="F1304" i="24"/>
  <c r="F1303" i="24"/>
  <c r="F1284" i="24"/>
  <c r="F1282" i="24"/>
  <c r="F1281" i="24"/>
  <c r="F1280" i="24"/>
  <c r="F1279" i="24"/>
  <c r="F1278" i="24"/>
  <c r="F1254" i="24"/>
  <c r="F1253" i="24"/>
  <c r="F1252" i="24"/>
  <c r="F1251" i="24"/>
  <c r="F1250" i="24"/>
  <c r="F1249" i="24"/>
  <c r="F1248" i="24"/>
  <c r="F1246" i="24"/>
  <c r="F1245" i="24"/>
  <c r="F1244" i="24"/>
  <c r="F1243" i="24"/>
  <c r="F1242" i="24"/>
  <c r="F1240" i="24"/>
  <c r="F1239" i="24"/>
  <c r="F1198" i="24"/>
  <c r="F1197" i="24"/>
  <c r="F1196" i="24"/>
  <c r="F1194" i="24"/>
  <c r="F1193" i="24"/>
  <c r="F1192" i="24"/>
  <c r="F1191" i="24"/>
  <c r="F1190" i="24"/>
  <c r="F1189" i="24"/>
  <c r="F1188" i="24"/>
  <c r="F1187" i="24"/>
  <c r="F1185" i="24"/>
  <c r="F1184" i="24"/>
  <c r="F1163" i="24"/>
  <c r="F1162" i="24"/>
  <c r="F1161" i="24"/>
  <c r="F1159" i="24"/>
  <c r="F1158" i="24"/>
  <c r="F1157" i="24"/>
  <c r="F1156" i="24"/>
  <c r="F1155" i="24"/>
  <c r="F1124" i="24"/>
  <c r="F1123" i="24"/>
  <c r="F1122" i="24"/>
  <c r="F1121" i="24"/>
  <c r="F1120" i="24"/>
  <c r="F1119" i="24"/>
  <c r="F1118" i="24"/>
  <c r="F1116" i="24"/>
  <c r="F1115" i="24"/>
  <c r="F1114" i="24"/>
  <c r="F1112" i="24"/>
  <c r="F1110" i="24"/>
  <c r="F1109" i="24"/>
  <c r="F1107" i="24"/>
  <c r="F1106" i="24"/>
  <c r="F1105" i="24"/>
  <c r="F1104" i="24"/>
  <c r="F1102" i="24"/>
  <c r="F1101" i="24"/>
  <c r="F1093" i="24"/>
  <c r="F1092" i="24"/>
  <c r="F1091" i="24"/>
  <c r="F1090" i="24"/>
  <c r="F1089" i="24"/>
  <c r="F1078" i="24"/>
  <c r="F1067" i="24"/>
  <c r="F1057" i="24"/>
  <c r="F1056" i="24"/>
  <c r="F1036" i="24"/>
  <c r="F1035" i="24"/>
  <c r="F1034" i="24"/>
  <c r="F1033" i="24"/>
  <c r="F1032" i="24"/>
  <c r="F1031" i="24"/>
  <c r="F1030" i="24"/>
  <c r="F1029" i="24"/>
  <c r="F1028" i="24"/>
  <c r="F1027" i="24"/>
  <c r="F1026" i="24"/>
  <c r="F1025" i="24"/>
  <c r="F1023" i="24"/>
  <c r="F1022" i="24"/>
  <c r="F1021" i="24"/>
  <c r="F1020" i="24"/>
  <c r="F1019" i="24"/>
  <c r="F1018" i="24"/>
  <c r="F1017" i="24"/>
  <c r="F1016" i="24"/>
  <c r="F1005" i="24"/>
  <c r="F994" i="24"/>
  <c r="F983" i="24"/>
  <c r="F975" i="24"/>
  <c r="F974" i="24"/>
  <c r="F973" i="24"/>
  <c r="F946" i="24"/>
  <c r="F945" i="24"/>
  <c r="F944" i="24"/>
  <c r="F942" i="24"/>
  <c r="F889" i="24"/>
  <c r="F888" i="24"/>
  <c r="F887" i="24"/>
  <c r="F886" i="24"/>
  <c r="F885" i="24"/>
  <c r="F884" i="24"/>
  <c r="F883" i="24"/>
  <c r="F882" i="24"/>
  <c r="F881" i="24"/>
  <c r="F880" i="24"/>
  <c r="F879" i="24"/>
  <c r="F878" i="24"/>
  <c r="F877" i="24"/>
  <c r="F876" i="24"/>
  <c r="F875" i="24"/>
  <c r="F874" i="24"/>
  <c r="F873" i="24"/>
  <c r="F872" i="24"/>
  <c r="F871" i="24"/>
  <c r="F869" i="24"/>
  <c r="F868" i="24"/>
  <c r="F867" i="24"/>
  <c r="F866" i="24"/>
  <c r="F865" i="24"/>
  <c r="F864" i="24"/>
  <c r="F863" i="24"/>
  <c r="F862" i="24"/>
  <c r="F861" i="24"/>
  <c r="F860" i="24"/>
  <c r="F859" i="24"/>
  <c r="F858" i="24"/>
  <c r="F857" i="24"/>
  <c r="F856" i="24"/>
  <c r="F855" i="24"/>
  <c r="F854" i="24"/>
  <c r="F853" i="24"/>
  <c r="F852" i="24"/>
  <c r="F851" i="24"/>
  <c r="F850" i="24"/>
  <c r="F848" i="24"/>
  <c r="F838" i="24"/>
  <c r="F837" i="24"/>
  <c r="F819" i="24"/>
  <c r="F818" i="24"/>
  <c r="F817" i="24"/>
  <c r="F816" i="24"/>
  <c r="F815" i="24"/>
  <c r="F814" i="24"/>
  <c r="F813" i="24"/>
  <c r="F812" i="24"/>
  <c r="F811" i="24"/>
  <c r="F810" i="24"/>
  <c r="F809" i="24"/>
  <c r="F808" i="24"/>
  <c r="F803" i="24"/>
  <c r="F792" i="24"/>
  <c r="F791" i="24"/>
  <c r="F790" i="24"/>
  <c r="F789" i="24"/>
  <c r="F788" i="24"/>
  <c r="F778" i="24"/>
  <c r="F777" i="24"/>
  <c r="F776" i="24"/>
  <c r="F765" i="24"/>
  <c r="F755" i="24"/>
  <c r="F754" i="24"/>
  <c r="F744" i="24"/>
  <c r="F743" i="24"/>
  <c r="F733" i="24"/>
  <c r="F732" i="24"/>
  <c r="F698" i="24"/>
  <c r="F694" i="24"/>
  <c r="F693" i="24"/>
  <c r="F692" i="24"/>
  <c r="F691" i="24"/>
  <c r="F690" i="24"/>
  <c r="F689" i="24"/>
  <c r="F688" i="24"/>
  <c r="F687" i="24"/>
  <c r="F686" i="24"/>
  <c r="F685" i="24"/>
  <c r="F683" i="24"/>
  <c r="F673" i="24"/>
  <c r="F672" i="24"/>
  <c r="F671" i="24"/>
  <c r="F670" i="24"/>
  <c r="F669" i="24"/>
  <c r="F668" i="24"/>
  <c r="F667" i="24"/>
  <c r="F666" i="24"/>
  <c r="F665" i="24"/>
  <c r="F664" i="24"/>
  <c r="F647" i="24"/>
  <c r="F646" i="24"/>
  <c r="F645" i="24"/>
  <c r="F644" i="24"/>
  <c r="F643" i="24"/>
  <c r="F642" i="24"/>
  <c r="F641" i="24"/>
  <c r="F640" i="24"/>
  <c r="F639" i="24"/>
  <c r="F625" i="24"/>
  <c r="F624" i="24"/>
  <c r="F623" i="24"/>
  <c r="F622" i="24"/>
  <c r="F621" i="24"/>
  <c r="F620" i="24"/>
  <c r="F619" i="24"/>
  <c r="F618" i="24"/>
  <c r="F617" i="24"/>
  <c r="F616" i="24"/>
  <c r="F615" i="24"/>
  <c r="F614" i="24"/>
  <c r="F613" i="24"/>
  <c r="F612" i="24"/>
  <c r="F611" i="24"/>
  <c r="F610" i="24"/>
  <c r="F608" i="24"/>
  <c r="F607" i="24"/>
  <c r="F606" i="24"/>
  <c r="F605" i="24"/>
  <c r="F604" i="24"/>
  <c r="F591" i="24"/>
  <c r="F589" i="24"/>
  <c r="F587" i="24"/>
  <c r="F586" i="24"/>
  <c r="F577" i="24"/>
  <c r="F576" i="24"/>
  <c r="F575" i="24"/>
  <c r="F565" i="24"/>
  <c r="F564" i="24"/>
  <c r="F555" i="24"/>
  <c r="F554" i="24"/>
  <c r="F553" i="24"/>
  <c r="F552" i="24"/>
  <c r="F551" i="24"/>
  <c r="F550" i="24"/>
  <c r="F549" i="24"/>
  <c r="F548" i="24"/>
  <c r="F547" i="24"/>
  <c r="F546" i="24"/>
  <c r="F544" i="24"/>
  <c r="F543" i="24"/>
  <c r="F542" i="24"/>
  <c r="F541" i="24"/>
  <c r="F540" i="24"/>
  <c r="F539" i="24"/>
  <c r="F538" i="24"/>
  <c r="F537" i="24"/>
  <c r="F536" i="24"/>
  <c r="F535" i="24"/>
  <c r="F534" i="24"/>
  <c r="F533" i="24"/>
  <c r="F532" i="24"/>
  <c r="F531" i="24"/>
  <c r="F528" i="24"/>
  <c r="F527" i="24"/>
  <c r="F526" i="24"/>
  <c r="F510" i="24"/>
  <c r="F508" i="24"/>
  <c r="F507" i="24"/>
  <c r="F506" i="24"/>
  <c r="F505" i="24"/>
  <c r="F504" i="24"/>
  <c r="F502" i="24"/>
  <c r="F501" i="24"/>
  <c r="F500" i="24"/>
  <c r="F491" i="24"/>
  <c r="F490" i="24"/>
  <c r="F489" i="24"/>
  <c r="F452" i="24"/>
  <c r="F449" i="24"/>
  <c r="F448" i="24"/>
  <c r="F447" i="24"/>
  <c r="F446" i="24"/>
  <c r="F445" i="24"/>
  <c r="F444" i="24"/>
  <c r="F443" i="24"/>
  <c r="F431" i="24"/>
  <c r="F426" i="24"/>
  <c r="F425" i="24"/>
  <c r="F424" i="24"/>
  <c r="F423" i="24"/>
  <c r="F422" i="24"/>
  <c r="F421" i="24"/>
  <c r="F406" i="24"/>
  <c r="F405" i="24"/>
  <c r="F404" i="24"/>
  <c r="F403" i="24"/>
  <c r="F400" i="24"/>
  <c r="F398" i="24"/>
  <c r="F388" i="24"/>
  <c r="F387" i="24"/>
  <c r="F378" i="24"/>
  <c r="F377" i="24"/>
  <c r="F376" i="24"/>
  <c r="F367" i="24"/>
  <c r="F358" i="24"/>
  <c r="F356" i="24"/>
  <c r="F355" i="24"/>
  <c r="F354" i="24"/>
  <c r="F344" i="24"/>
  <c r="F343" i="24"/>
  <c r="F333" i="24"/>
  <c r="F332" i="24"/>
  <c r="F324" i="24"/>
  <c r="F320" i="24"/>
  <c r="F319" i="24"/>
  <c r="F318" i="24"/>
  <c r="F317" i="24"/>
  <c r="F316" i="24"/>
  <c r="F315" i="24"/>
  <c r="F314" i="24"/>
  <c r="F313" i="24"/>
  <c r="F306" i="24"/>
  <c r="F305" i="24"/>
  <c r="F304" i="24"/>
  <c r="F303" i="24"/>
  <c r="F302" i="24"/>
  <c r="F301" i="24"/>
  <c r="F295" i="24"/>
  <c r="F294" i="24"/>
  <c r="F293" i="24"/>
  <c r="F292" i="24"/>
  <c r="F291" i="24"/>
  <c r="F276" i="24"/>
  <c r="F275" i="24"/>
  <c r="F274" i="24"/>
  <c r="F273" i="24"/>
  <c r="F272" i="24"/>
  <c r="F271" i="24"/>
  <c r="F270" i="24"/>
  <c r="F269" i="24"/>
  <c r="F266" i="24"/>
  <c r="F265" i="24"/>
  <c r="F264" i="24"/>
  <c r="F263" i="24"/>
  <c r="F262" i="24"/>
  <c r="F261" i="24"/>
  <c r="F260" i="24"/>
  <c r="F259" i="24"/>
  <c r="F258" i="24"/>
  <c r="F257" i="24"/>
  <c r="F256" i="24"/>
  <c r="F255" i="24"/>
  <c r="F253" i="24"/>
  <c r="F244" i="24"/>
  <c r="F243" i="24"/>
  <c r="F242" i="24"/>
  <c r="F235" i="24"/>
  <c r="F234" i="24"/>
  <c r="F232" i="24"/>
  <c r="F231" i="24"/>
  <c r="F224" i="24"/>
  <c r="F223" i="24"/>
  <c r="F182" i="24"/>
  <c r="F181" i="24"/>
  <c r="F180" i="24"/>
  <c r="F179" i="24"/>
  <c r="F178" i="24"/>
  <c r="F172" i="24"/>
  <c r="F171" i="24"/>
  <c r="F170" i="24"/>
  <c r="F169" i="24"/>
  <c r="F168" i="24"/>
  <c r="F167" i="24"/>
  <c r="F166" i="24"/>
  <c r="F165" i="24"/>
  <c r="F164" i="24"/>
  <c r="F163" i="24"/>
  <c r="F162" i="24"/>
  <c r="F160" i="24"/>
  <c r="F148" i="24"/>
  <c r="F147" i="24"/>
  <c r="F139" i="24"/>
  <c r="F138" i="24"/>
  <c r="F137" i="24"/>
  <c r="F136" i="24"/>
  <c r="F135" i="24"/>
  <c r="F129" i="24"/>
  <c r="F128" i="24"/>
  <c r="F127" i="24"/>
  <c r="F126" i="24"/>
  <c r="F125" i="24"/>
  <c r="F124" i="24"/>
  <c r="F123" i="24"/>
  <c r="F122" i="24"/>
  <c r="F121" i="24"/>
  <c r="F120" i="24"/>
  <c r="F119" i="24"/>
  <c r="F108" i="24"/>
  <c r="F107" i="24"/>
  <c r="F96" i="24"/>
  <c r="F93" i="24"/>
  <c r="F92" i="24"/>
  <c r="F91" i="24"/>
  <c r="F90" i="24"/>
  <c r="F89" i="24"/>
  <c r="F88" i="24"/>
  <c r="F87" i="24"/>
  <c r="F86" i="24"/>
  <c r="F85" i="24"/>
  <c r="F76" i="24"/>
  <c r="F75" i="24"/>
  <c r="F74" i="24"/>
  <c r="F64" i="24"/>
  <c r="F56" i="24"/>
  <c r="F55" i="24"/>
  <c r="F54" i="24"/>
  <c r="F46" i="24"/>
  <c r="F43" i="24"/>
  <c r="F42" i="24"/>
  <c r="F41" i="24"/>
  <c r="F31" i="24"/>
  <c r="F30" i="24"/>
  <c r="F20" i="24"/>
  <c r="F19" i="24"/>
  <c r="F9" i="24"/>
  <c r="F7" i="24"/>
  <c r="C63" i="24"/>
  <c r="C419" i="24"/>
  <c r="C1100" i="24"/>
  <c r="C787" i="24"/>
  <c r="C602" i="24"/>
  <c r="C52" i="24"/>
  <c r="C836" i="24"/>
  <c r="E141" i="42"/>
  <c r="C334" i="39"/>
  <c r="E334" i="39"/>
  <c r="D50" i="31"/>
  <c r="E50" i="31"/>
  <c r="E46" i="31"/>
  <c r="F22" i="41"/>
  <c r="F143" i="41"/>
  <c r="F284" i="41"/>
  <c r="F10" i="36"/>
  <c r="F12" i="36"/>
  <c r="F13" i="36"/>
  <c r="F14" i="36"/>
  <c r="F18" i="36"/>
  <c r="F30" i="36"/>
  <c r="F50" i="36"/>
  <c r="F65" i="36"/>
  <c r="F74" i="36"/>
  <c r="F78" i="36"/>
  <c r="F110" i="36"/>
  <c r="F138" i="36"/>
  <c r="F142" i="36"/>
  <c r="F170" i="36"/>
  <c r="F206" i="36"/>
  <c r="F238" i="36"/>
  <c r="F270" i="36"/>
  <c r="F282" i="36"/>
  <c r="F334" i="36"/>
  <c r="F355" i="36"/>
  <c r="F379" i="36"/>
  <c r="F386" i="36"/>
  <c r="F387" i="36"/>
  <c r="F390" i="36"/>
  <c r="F398" i="36"/>
  <c r="F402" i="36"/>
  <c r="F406" i="36"/>
  <c r="F410" i="36"/>
  <c r="F411" i="36"/>
  <c r="F414" i="36"/>
  <c r="F419" i="36"/>
  <c r="F451" i="36"/>
  <c r="F459" i="36"/>
  <c r="F467" i="36"/>
  <c r="F472" i="36"/>
  <c r="F474" i="36"/>
  <c r="F486" i="36"/>
  <c r="F490" i="36"/>
  <c r="F494" i="36"/>
  <c r="F498" i="36"/>
  <c r="F502" i="36"/>
  <c r="F506" i="36"/>
  <c r="F510" i="36"/>
  <c r="F514" i="36"/>
  <c r="F518" i="36"/>
  <c r="F522" i="36"/>
  <c r="F527" i="36"/>
  <c r="F530" i="36"/>
  <c r="F531" i="36"/>
  <c r="F535" i="36"/>
  <c r="F538" i="36"/>
  <c r="F539" i="36"/>
  <c r="F543" i="36"/>
  <c r="F546" i="36"/>
  <c r="F547" i="36"/>
  <c r="F551" i="36"/>
  <c r="F554" i="36"/>
  <c r="F555" i="36"/>
  <c r="F578" i="36"/>
  <c r="F586" i="36"/>
  <c r="F594" i="36"/>
  <c r="F602" i="36"/>
  <c r="F610" i="36"/>
  <c r="F618" i="36"/>
  <c r="F626" i="36"/>
  <c r="F634" i="36"/>
  <c r="F642" i="36"/>
  <c r="F666" i="36"/>
  <c r="F674" i="36"/>
  <c r="F682" i="36"/>
  <c r="F690" i="36"/>
  <c r="F706" i="36"/>
  <c r="F714" i="36"/>
  <c r="F722" i="36"/>
  <c r="F730" i="36"/>
  <c r="E545" i="24"/>
  <c r="C545" i="24"/>
  <c r="C1113" i="24"/>
  <c r="F1113" i="24"/>
  <c r="C481" i="24"/>
  <c r="G481" i="24"/>
  <c r="C480" i="24"/>
  <c r="C566" i="24"/>
  <c r="C503" i="24"/>
  <c r="G503" i="24"/>
  <c r="M1552" i="40"/>
  <c r="D1501" i="40"/>
  <c r="M1523" i="40"/>
  <c r="P61" i="1"/>
  <c r="N233" i="15"/>
  <c r="M1131" i="40"/>
  <c r="H42" i="22"/>
  <c r="J71" i="1"/>
  <c r="E71" i="1"/>
  <c r="R71" i="1"/>
  <c r="G61" i="1"/>
  <c r="F61" i="1"/>
  <c r="H52" i="1"/>
  <c r="F52" i="1"/>
  <c r="G40" i="1"/>
  <c r="G39" i="1"/>
  <c r="G132" i="22"/>
  <c r="K132" i="22"/>
  <c r="H131" i="22"/>
  <c r="G131" i="22"/>
  <c r="H130" i="22"/>
  <c r="H125" i="22"/>
  <c r="G125" i="22"/>
  <c r="K125" i="22"/>
  <c r="H124" i="22"/>
  <c r="H123" i="22"/>
  <c r="H187" i="1"/>
  <c r="F184" i="1"/>
  <c r="F183" i="1"/>
  <c r="G180" i="1"/>
  <c r="H179" i="1"/>
  <c r="H178" i="1"/>
  <c r="H177" i="1"/>
  <c r="F177" i="1"/>
  <c r="F165" i="1"/>
  <c r="H107" i="22"/>
  <c r="H104" i="22"/>
  <c r="H103" i="22"/>
  <c r="F157" i="1"/>
  <c r="F153" i="1"/>
  <c r="F90" i="1"/>
  <c r="F87" i="1"/>
  <c r="H214" i="22"/>
  <c r="F275" i="1"/>
  <c r="E275" i="1"/>
  <c r="H155" i="1"/>
  <c r="F155" i="1"/>
  <c r="E138" i="1"/>
  <c r="R138" i="1"/>
  <c r="H75" i="22"/>
  <c r="E99" i="1"/>
  <c r="R99" i="1"/>
  <c r="E93" i="1"/>
  <c r="R93" i="1"/>
  <c r="G218" i="22"/>
  <c r="K218" i="22"/>
  <c r="J188" i="22"/>
  <c r="J155" i="22"/>
  <c r="J154" i="22"/>
  <c r="I188" i="22"/>
  <c r="G188" i="22"/>
  <c r="G181" i="22"/>
  <c r="K181" i="22"/>
  <c r="L50" i="15"/>
  <c r="N254" i="1"/>
  <c r="K254" i="1"/>
  <c r="V234" i="1"/>
  <c r="G74" i="22"/>
  <c r="K74" i="22"/>
  <c r="J42" i="22"/>
  <c r="J37" i="22"/>
  <c r="J36" i="22"/>
  <c r="J288" i="22"/>
  <c r="J354" i="22"/>
  <c r="G33" i="15"/>
  <c r="G32" i="15"/>
  <c r="L65" i="15"/>
  <c r="E1206" i="40"/>
  <c r="M1206" i="40"/>
  <c r="D1273" i="40"/>
  <c r="D1272" i="40"/>
  <c r="M1272" i="40"/>
  <c r="D1271" i="40"/>
  <c r="D1270" i="40"/>
  <c r="M1270" i="40"/>
  <c r="D1269" i="40"/>
  <c r="M1269" i="40"/>
  <c r="D1268" i="40"/>
  <c r="M1268" i="40"/>
  <c r="D1267" i="40"/>
  <c r="M1267" i="40"/>
  <c r="D1266" i="40"/>
  <c r="M1266" i="40"/>
  <c r="D1265" i="40"/>
  <c r="M1265" i="40"/>
  <c r="D1264" i="40"/>
  <c r="M1264" i="40"/>
  <c r="D1263" i="40"/>
  <c r="M1263" i="40"/>
  <c r="D1262" i="40"/>
  <c r="M1262" i="40"/>
  <c r="D1261" i="40"/>
  <c r="D1260" i="40"/>
  <c r="M1260" i="40"/>
  <c r="D1259" i="40"/>
  <c r="M1259" i="40"/>
  <c r="D1258" i="40"/>
  <c r="M1258" i="40"/>
  <c r="D1257" i="40"/>
  <c r="M1257" i="40"/>
  <c r="D1256" i="40"/>
  <c r="M1256" i="40"/>
  <c r="D1255" i="40"/>
  <c r="M1255" i="40"/>
  <c r="D1254" i="40"/>
  <c r="M1254" i="40"/>
  <c r="D1253" i="40"/>
  <c r="M1253" i="40"/>
  <c r="D1252" i="40"/>
  <c r="M1252" i="40"/>
  <c r="D1251" i="40"/>
  <c r="M1251" i="40"/>
  <c r="D1250" i="40"/>
  <c r="M1250" i="40"/>
  <c r="D1249" i="40"/>
  <c r="M1249" i="40"/>
  <c r="D1248" i="40"/>
  <c r="M1248" i="40"/>
  <c r="D1247" i="40"/>
  <c r="M1247" i="40"/>
  <c r="D1246" i="40"/>
  <c r="M1246" i="40"/>
  <c r="D1245" i="40"/>
  <c r="M1245" i="40"/>
  <c r="D1244" i="40"/>
  <c r="M1244" i="40"/>
  <c r="D1243" i="40"/>
  <c r="M1243" i="40"/>
  <c r="D1242" i="40"/>
  <c r="M1242" i="40"/>
  <c r="D1241" i="40"/>
  <c r="M1241" i="40"/>
  <c r="D1240" i="40"/>
  <c r="M1240" i="40"/>
  <c r="D1239" i="40"/>
  <c r="M1239" i="40"/>
  <c r="D1238" i="40"/>
  <c r="M1238" i="40"/>
  <c r="D1237" i="40"/>
  <c r="M1237" i="40"/>
  <c r="D1236" i="40"/>
  <c r="M1236" i="40"/>
  <c r="D1235" i="40"/>
  <c r="D1234" i="40"/>
  <c r="M1234" i="40"/>
  <c r="D1233" i="40"/>
  <c r="M1233" i="40"/>
  <c r="D1232" i="40"/>
  <c r="M1232" i="40"/>
  <c r="D1231" i="40"/>
  <c r="M1231" i="40"/>
  <c r="D1230" i="40"/>
  <c r="M1230" i="40"/>
  <c r="D1229" i="40"/>
  <c r="M1229" i="40"/>
  <c r="D1228" i="40"/>
  <c r="M1228" i="40"/>
  <c r="D1227" i="40"/>
  <c r="M1227" i="40"/>
  <c r="D1226" i="40"/>
  <c r="M1226" i="40"/>
  <c r="D1225" i="40"/>
  <c r="M1225" i="40"/>
  <c r="D1224" i="40"/>
  <c r="M1224" i="40"/>
  <c r="D1223" i="40"/>
  <c r="M1223" i="40"/>
  <c r="D1222" i="40"/>
  <c r="M1222" i="40"/>
  <c r="D1221" i="40"/>
  <c r="M1221" i="40"/>
  <c r="D1220" i="40"/>
  <c r="M1220" i="40"/>
  <c r="D1219" i="40"/>
  <c r="M1219" i="40"/>
  <c r="D1218" i="40"/>
  <c r="M1218" i="40"/>
  <c r="D1217" i="40"/>
  <c r="M1217" i="40"/>
  <c r="D1216" i="40"/>
  <c r="M1216" i="40"/>
  <c r="D1215" i="40"/>
  <c r="M1215" i="40"/>
  <c r="D1214" i="40"/>
  <c r="M1214" i="40"/>
  <c r="D1213" i="40"/>
  <c r="M1213" i="40"/>
  <c r="D1212" i="40"/>
  <c r="M1212" i="40"/>
  <c r="D1211" i="40"/>
  <c r="M1211" i="40"/>
  <c r="D1210" i="40"/>
  <c r="M1210" i="40"/>
  <c r="D1209" i="40"/>
  <c r="M1209" i="40"/>
  <c r="D1208" i="40"/>
  <c r="M1208" i="40"/>
  <c r="D1207" i="40"/>
  <c r="D840" i="40"/>
  <c r="M840" i="40"/>
  <c r="M844" i="40"/>
  <c r="M845" i="40"/>
  <c r="M846" i="40"/>
  <c r="M847" i="40"/>
  <c r="M848" i="40"/>
  <c r="M849" i="40"/>
  <c r="M850" i="40"/>
  <c r="M851" i="40"/>
  <c r="M852" i="40"/>
  <c r="M853" i="40"/>
  <c r="M854" i="40"/>
  <c r="M855" i="40"/>
  <c r="M856" i="40"/>
  <c r="M857" i="40"/>
  <c r="M858" i="40"/>
  <c r="M859" i="40"/>
  <c r="M860" i="40"/>
  <c r="M861" i="40"/>
  <c r="M862" i="40"/>
  <c r="M863" i="40"/>
  <c r="M864" i="40"/>
  <c r="M865" i="40"/>
  <c r="M866" i="40"/>
  <c r="M867" i="40"/>
  <c r="M868" i="40"/>
  <c r="M869" i="40"/>
  <c r="M870" i="40"/>
  <c r="M871" i="40"/>
  <c r="M872" i="40"/>
  <c r="M873" i="40"/>
  <c r="M874" i="40"/>
  <c r="M875" i="40"/>
  <c r="M876" i="40"/>
  <c r="M877" i="40"/>
  <c r="M878" i="40"/>
  <c r="M879" i="40"/>
  <c r="M880" i="40"/>
  <c r="M881" i="40"/>
  <c r="M882" i="40"/>
  <c r="M883" i="40"/>
  <c r="M884" i="40"/>
  <c r="M885" i="40"/>
  <c r="M886" i="40"/>
  <c r="M887" i="40"/>
  <c r="M888" i="40"/>
  <c r="M889" i="40"/>
  <c r="M890" i="40"/>
  <c r="M891" i="40"/>
  <c r="M892" i="40"/>
  <c r="M893" i="40"/>
  <c r="M894" i="40"/>
  <c r="M895" i="40"/>
  <c r="M896" i="40"/>
  <c r="M897" i="40"/>
  <c r="M898" i="40"/>
  <c r="M899" i="40"/>
  <c r="M900" i="40"/>
  <c r="M901" i="40"/>
  <c r="M902" i="40"/>
  <c r="M903" i="40"/>
  <c r="M904" i="40"/>
  <c r="M905" i="40"/>
  <c r="M906" i="40"/>
  <c r="M907" i="40"/>
  <c r="M908" i="40"/>
  <c r="M909" i="40"/>
  <c r="M910" i="40"/>
  <c r="G205" i="1"/>
  <c r="H205" i="1"/>
  <c r="I205" i="1"/>
  <c r="L205" i="1"/>
  <c r="M205" i="1"/>
  <c r="F206" i="1"/>
  <c r="G206" i="1"/>
  <c r="H206" i="1"/>
  <c r="I206" i="1"/>
  <c r="L206" i="1"/>
  <c r="M206" i="1"/>
  <c r="J261" i="1"/>
  <c r="E261" i="1"/>
  <c r="R261" i="1"/>
  <c r="P247" i="1"/>
  <c r="P205" i="1"/>
  <c r="O247" i="1"/>
  <c r="K100" i="15"/>
  <c r="N247" i="1"/>
  <c r="J111" i="1"/>
  <c r="E111" i="1"/>
  <c r="R111" i="1"/>
  <c r="J72" i="1"/>
  <c r="E72" i="1"/>
  <c r="R72" i="1"/>
  <c r="D890" i="24"/>
  <c r="C890" i="24"/>
  <c r="G890" i="24"/>
  <c r="D1360" i="24"/>
  <c r="C1360" i="24"/>
  <c r="G1360" i="24"/>
  <c r="F1360" i="24"/>
  <c r="D981" i="40"/>
  <c r="C418" i="42"/>
  <c r="F418" i="42"/>
  <c r="C231" i="42"/>
  <c r="F231" i="42"/>
  <c r="C165" i="42"/>
  <c r="F165" i="42"/>
  <c r="C65" i="42"/>
  <c r="F65" i="42"/>
  <c r="E66" i="41"/>
  <c r="C54" i="41"/>
  <c r="F54" i="41"/>
  <c r="C152" i="41"/>
  <c r="C219" i="41"/>
  <c r="F219" i="41"/>
  <c r="C406" i="41"/>
  <c r="F406" i="41"/>
  <c r="C658" i="41"/>
  <c r="F658" i="41"/>
  <c r="C141" i="27"/>
  <c r="G141" i="27"/>
  <c r="C133" i="27"/>
  <c r="G133" i="27"/>
  <c r="D122" i="27"/>
  <c r="C122" i="27"/>
  <c r="G122" i="27"/>
  <c r="I77" i="22"/>
  <c r="J77" i="22"/>
  <c r="J76" i="22"/>
  <c r="G102" i="22"/>
  <c r="H97" i="22"/>
  <c r="G97" i="22"/>
  <c r="L81" i="15"/>
  <c r="C1322" i="24"/>
  <c r="C1164" i="24"/>
  <c r="F1164" i="24"/>
  <c r="C1195" i="24"/>
  <c r="C1059" i="24"/>
  <c r="C950" i="24"/>
  <c r="D1100" i="24"/>
  <c r="D836" i="24"/>
  <c r="D787" i="24"/>
  <c r="D602" i="24"/>
  <c r="F602" i="24"/>
  <c r="D419" i="24"/>
  <c r="D63" i="24"/>
  <c r="D52" i="24"/>
  <c r="F52" i="24"/>
  <c r="D916" i="40"/>
  <c r="D917" i="40"/>
  <c r="D918" i="40"/>
  <c r="D921" i="40"/>
  <c r="D922" i="40"/>
  <c r="D923" i="40"/>
  <c r="D924" i="40"/>
  <c r="D925" i="40"/>
  <c r="D926" i="40"/>
  <c r="D927" i="40"/>
  <c r="D928" i="40"/>
  <c r="M928" i="40"/>
  <c r="D929" i="40"/>
  <c r="D930" i="40"/>
  <c r="M930" i="40"/>
  <c r="D931" i="40"/>
  <c r="D932" i="40"/>
  <c r="M932" i="40"/>
  <c r="D933" i="40"/>
  <c r="M933" i="40"/>
  <c r="D934" i="40"/>
  <c r="D935" i="40"/>
  <c r="D936" i="40"/>
  <c r="D937" i="40"/>
  <c r="AB937" i="40"/>
  <c r="D938" i="40"/>
  <c r="D939" i="40"/>
  <c r="D940" i="40"/>
  <c r="D941" i="40"/>
  <c r="D943" i="40"/>
  <c r="D944" i="40"/>
  <c r="M944" i="40"/>
  <c r="D945" i="40"/>
  <c r="D946" i="40"/>
  <c r="D947" i="40"/>
  <c r="M947" i="40"/>
  <c r="D948" i="40"/>
  <c r="M948" i="40"/>
  <c r="D949" i="40"/>
  <c r="D950" i="40"/>
  <c r="D952" i="40"/>
  <c r="M952" i="40"/>
  <c r="D953" i="40"/>
  <c r="D954" i="40"/>
  <c r="D955" i="40"/>
  <c r="M955" i="40"/>
  <c r="D956" i="40"/>
  <c r="D957" i="40"/>
  <c r="D958" i="40"/>
  <c r="D959" i="40"/>
  <c r="M959" i="40"/>
  <c r="D961" i="40"/>
  <c r="D964" i="40"/>
  <c r="M964" i="40"/>
  <c r="D965" i="40"/>
  <c r="D967" i="40"/>
  <c r="D968" i="40"/>
  <c r="D969" i="40"/>
  <c r="D970" i="40"/>
  <c r="D971" i="40"/>
  <c r="D972" i="40"/>
  <c r="D973" i="40"/>
  <c r="D975" i="40"/>
  <c r="M975" i="40"/>
  <c r="D976" i="40"/>
  <c r="D977" i="40"/>
  <c r="AB977" i="40"/>
  <c r="D978" i="40"/>
  <c r="D979" i="40"/>
  <c r="D980" i="40"/>
  <c r="D915" i="40"/>
  <c r="E974" i="40"/>
  <c r="D974" i="40"/>
  <c r="D963" i="40"/>
  <c r="M963" i="40"/>
  <c r="E962" i="40"/>
  <c r="X962" i="40"/>
  <c r="D962" i="40"/>
  <c r="E960" i="40"/>
  <c r="X960" i="40"/>
  <c r="E951" i="40"/>
  <c r="E942" i="40"/>
  <c r="D942" i="40"/>
  <c r="E920" i="40"/>
  <c r="X920" i="40"/>
  <c r="W920" i="40"/>
  <c r="AB920" i="40"/>
  <c r="D920" i="40"/>
  <c r="E919" i="40"/>
  <c r="X919" i="40"/>
  <c r="M632" i="40"/>
  <c r="F152" i="1"/>
  <c r="F713" i="42"/>
  <c r="C712" i="42"/>
  <c r="F712" i="42"/>
  <c r="C43" i="42"/>
  <c r="F43" i="42"/>
  <c r="C331" i="42"/>
  <c r="F331" i="42"/>
  <c r="C330" i="42"/>
  <c r="F330" i="42"/>
  <c r="C527" i="42"/>
  <c r="F527" i="42"/>
  <c r="C526" i="42"/>
  <c r="C198" i="42"/>
  <c r="F198" i="42"/>
  <c r="C197" i="42"/>
  <c r="F197" i="42"/>
  <c r="C560" i="42"/>
  <c r="F560" i="42"/>
  <c r="C559" i="42"/>
  <c r="F559" i="42"/>
  <c r="C154" i="42"/>
  <c r="F154" i="42"/>
  <c r="E21" i="41"/>
  <c r="E31" i="41"/>
  <c r="C258" i="39"/>
  <c r="F22" i="20"/>
  <c r="K28" i="15"/>
  <c r="K69" i="15"/>
  <c r="K53" i="15"/>
  <c r="K51" i="15"/>
  <c r="K46" i="15"/>
  <c r="K21" i="15"/>
  <c r="K32" i="22"/>
  <c r="K33" i="22"/>
  <c r="K34" i="22"/>
  <c r="K35" i="22"/>
  <c r="K147" i="22"/>
  <c r="K197" i="22"/>
  <c r="K203" i="22"/>
  <c r="K211" i="22"/>
  <c r="M7" i="40"/>
  <c r="M8" i="40"/>
  <c r="M9" i="40"/>
  <c r="M10" i="40"/>
  <c r="M11" i="40"/>
  <c r="M12" i="40"/>
  <c r="M13" i="40"/>
  <c r="M14" i="40"/>
  <c r="M15" i="40"/>
  <c r="M16" i="40"/>
  <c r="M17" i="40"/>
  <c r="M18" i="40"/>
  <c r="M19" i="40"/>
  <c r="M20" i="40"/>
  <c r="M21" i="40"/>
  <c r="M22" i="40"/>
  <c r="M23" i="40"/>
  <c r="M24" i="40"/>
  <c r="M25" i="40"/>
  <c r="M26" i="40"/>
  <c r="M27" i="40"/>
  <c r="M28" i="40"/>
  <c r="M29" i="40"/>
  <c r="M30" i="40"/>
  <c r="M31" i="40"/>
  <c r="M32" i="40"/>
  <c r="M33" i="40"/>
  <c r="M34" i="40"/>
  <c r="M35" i="40"/>
  <c r="M36" i="40"/>
  <c r="M37" i="40"/>
  <c r="M38" i="40"/>
  <c r="M39" i="40"/>
  <c r="M40" i="40"/>
  <c r="M41" i="40"/>
  <c r="M42" i="40"/>
  <c r="M43" i="40"/>
  <c r="M44" i="40"/>
  <c r="M45" i="40"/>
  <c r="M46" i="40"/>
  <c r="M47" i="40"/>
  <c r="M48" i="40"/>
  <c r="M49" i="40"/>
  <c r="M50" i="40"/>
  <c r="M51" i="40"/>
  <c r="M52" i="40"/>
  <c r="M53" i="40"/>
  <c r="M54" i="40"/>
  <c r="M55" i="40"/>
  <c r="M56" i="40"/>
  <c r="M57" i="40"/>
  <c r="M58" i="40"/>
  <c r="M59" i="40"/>
  <c r="M60" i="40"/>
  <c r="M61" i="40"/>
  <c r="M62" i="40"/>
  <c r="M63" i="40"/>
  <c r="M64" i="40"/>
  <c r="M65" i="40"/>
  <c r="M66" i="40"/>
  <c r="M67" i="40"/>
  <c r="M68" i="40"/>
  <c r="M69" i="40"/>
  <c r="M70" i="40"/>
  <c r="M71" i="40"/>
  <c r="M72" i="40"/>
  <c r="M77" i="40"/>
  <c r="M78" i="40"/>
  <c r="M79" i="40"/>
  <c r="M80" i="40"/>
  <c r="M81" i="40"/>
  <c r="M82" i="40"/>
  <c r="M83" i="40"/>
  <c r="M84" i="40"/>
  <c r="M85" i="40"/>
  <c r="M87" i="40"/>
  <c r="M88" i="40"/>
  <c r="M90" i="40"/>
  <c r="M91" i="40"/>
  <c r="M92" i="40"/>
  <c r="M93" i="40"/>
  <c r="M94" i="40"/>
  <c r="M95" i="40"/>
  <c r="M96" i="40"/>
  <c r="M97" i="40"/>
  <c r="M98" i="40"/>
  <c r="M99" i="40"/>
  <c r="M100" i="40"/>
  <c r="M101" i="40"/>
  <c r="M102" i="40"/>
  <c r="M103" i="40"/>
  <c r="M104" i="40"/>
  <c r="M106" i="40"/>
  <c r="M107" i="40"/>
  <c r="M108" i="40"/>
  <c r="M109" i="40"/>
  <c r="M110" i="40"/>
  <c r="M111" i="40"/>
  <c r="M112" i="40"/>
  <c r="M113" i="40"/>
  <c r="M114" i="40"/>
  <c r="M115" i="40"/>
  <c r="M116" i="40"/>
  <c r="M117" i="40"/>
  <c r="M118" i="40"/>
  <c r="M119" i="40"/>
  <c r="M120" i="40"/>
  <c r="M121" i="40"/>
  <c r="M122" i="40"/>
  <c r="M124" i="40"/>
  <c r="M125" i="40"/>
  <c r="M126" i="40"/>
  <c r="M127" i="40"/>
  <c r="M128" i="40"/>
  <c r="M129" i="40"/>
  <c r="M130" i="40"/>
  <c r="M131" i="40"/>
  <c r="M132" i="40"/>
  <c r="M133" i="40"/>
  <c r="M134" i="40"/>
  <c r="M135" i="40"/>
  <c r="M137" i="40"/>
  <c r="M139" i="40"/>
  <c r="M140" i="40"/>
  <c r="M141" i="40"/>
  <c r="M142" i="40"/>
  <c r="M218" i="40"/>
  <c r="M219" i="40"/>
  <c r="M220" i="40"/>
  <c r="M221" i="40"/>
  <c r="M222" i="40"/>
  <c r="M223" i="40"/>
  <c r="M224" i="40"/>
  <c r="M225" i="40"/>
  <c r="M226" i="40"/>
  <c r="M227" i="40"/>
  <c r="M228" i="40"/>
  <c r="M229" i="40"/>
  <c r="M230" i="40"/>
  <c r="M231" i="40"/>
  <c r="M232" i="40"/>
  <c r="M233" i="40"/>
  <c r="M234" i="40"/>
  <c r="M235" i="40"/>
  <c r="M236" i="40"/>
  <c r="M237" i="40"/>
  <c r="M238" i="40"/>
  <c r="M239" i="40"/>
  <c r="M240" i="40"/>
  <c r="M241" i="40"/>
  <c r="M242" i="40"/>
  <c r="M243" i="40"/>
  <c r="M244" i="40"/>
  <c r="M245" i="40"/>
  <c r="M246" i="40"/>
  <c r="M247" i="40"/>
  <c r="M248" i="40"/>
  <c r="M249" i="40"/>
  <c r="M250" i="40"/>
  <c r="M251" i="40"/>
  <c r="M252" i="40"/>
  <c r="M253" i="40"/>
  <c r="M254" i="40"/>
  <c r="M255" i="40"/>
  <c r="M256" i="40"/>
  <c r="M257" i="40"/>
  <c r="M258" i="40"/>
  <c r="M259" i="40"/>
  <c r="M260" i="40"/>
  <c r="M261" i="40"/>
  <c r="M262" i="40"/>
  <c r="M263" i="40"/>
  <c r="M264" i="40"/>
  <c r="M265" i="40"/>
  <c r="M266" i="40"/>
  <c r="M267" i="40"/>
  <c r="M268" i="40"/>
  <c r="M269" i="40"/>
  <c r="M270" i="40"/>
  <c r="M271" i="40"/>
  <c r="M273" i="40"/>
  <c r="M274" i="40"/>
  <c r="M275" i="40"/>
  <c r="M276" i="40"/>
  <c r="M277" i="40"/>
  <c r="M278" i="40"/>
  <c r="M279" i="40"/>
  <c r="M280" i="40"/>
  <c r="M281" i="40"/>
  <c r="M282" i="40"/>
  <c r="M283" i="40"/>
  <c r="M284" i="40"/>
  <c r="M355" i="40"/>
  <c r="M426" i="40"/>
  <c r="M566" i="40"/>
  <c r="M567" i="40"/>
  <c r="M568" i="40"/>
  <c r="M569" i="40"/>
  <c r="M570" i="40"/>
  <c r="M571" i="40"/>
  <c r="M572" i="40"/>
  <c r="M573" i="40"/>
  <c r="M574" i="40"/>
  <c r="M575" i="40"/>
  <c r="M577" i="40"/>
  <c r="M578" i="40"/>
  <c r="M579" i="40"/>
  <c r="M580" i="40"/>
  <c r="M582" i="40"/>
  <c r="M583" i="40"/>
  <c r="M584" i="40"/>
  <c r="M585" i="40"/>
  <c r="M586" i="40"/>
  <c r="M587" i="40"/>
  <c r="M588" i="40"/>
  <c r="M589" i="40"/>
  <c r="M590" i="40"/>
  <c r="M591" i="40"/>
  <c r="M592" i="40"/>
  <c r="M593" i="40"/>
  <c r="M594" i="40"/>
  <c r="M595" i="40"/>
  <c r="M597" i="40"/>
  <c r="M598" i="40"/>
  <c r="M599" i="40"/>
  <c r="M600" i="40"/>
  <c r="M601" i="40"/>
  <c r="M602" i="40"/>
  <c r="M603" i="40"/>
  <c r="M604" i="40"/>
  <c r="M605" i="40"/>
  <c r="M606" i="40"/>
  <c r="M607" i="40"/>
  <c r="M608" i="40"/>
  <c r="M609" i="40"/>
  <c r="M610" i="40"/>
  <c r="M611" i="40"/>
  <c r="M612" i="40"/>
  <c r="M613" i="40"/>
  <c r="M615" i="40"/>
  <c r="M616" i="40"/>
  <c r="M617" i="40"/>
  <c r="M618" i="40"/>
  <c r="M619" i="40"/>
  <c r="M620" i="40"/>
  <c r="M621" i="40"/>
  <c r="M622" i="40"/>
  <c r="M623" i="40"/>
  <c r="M624" i="40"/>
  <c r="M626" i="40"/>
  <c r="M627" i="40"/>
  <c r="M628" i="40"/>
  <c r="M629" i="40"/>
  <c r="M630" i="40"/>
  <c r="M631" i="40"/>
  <c r="M634" i="40"/>
  <c r="M635" i="40"/>
  <c r="M636" i="40"/>
  <c r="M637" i="40"/>
  <c r="M638" i="40"/>
  <c r="M639" i="40"/>
  <c r="M640" i="40"/>
  <c r="M641" i="40"/>
  <c r="M642" i="40"/>
  <c r="M643" i="40"/>
  <c r="M644" i="40"/>
  <c r="M645" i="40"/>
  <c r="M646" i="40"/>
  <c r="M647" i="40"/>
  <c r="M648" i="40"/>
  <c r="M649" i="40"/>
  <c r="M650" i="40"/>
  <c r="M651" i="40"/>
  <c r="M652" i="40"/>
  <c r="M653" i="40"/>
  <c r="M654" i="40"/>
  <c r="M655" i="40"/>
  <c r="M656" i="40"/>
  <c r="M657" i="40"/>
  <c r="M658" i="40"/>
  <c r="M659" i="40"/>
  <c r="M660" i="40"/>
  <c r="M661" i="40"/>
  <c r="M662" i="40"/>
  <c r="M663" i="40"/>
  <c r="M664" i="40"/>
  <c r="M665" i="40"/>
  <c r="M666" i="40"/>
  <c r="M667" i="40"/>
  <c r="M668" i="40"/>
  <c r="M669" i="40"/>
  <c r="M670" i="40"/>
  <c r="M671" i="40"/>
  <c r="M672" i="40"/>
  <c r="M673" i="40"/>
  <c r="M674" i="40"/>
  <c r="M675" i="40"/>
  <c r="M676" i="40"/>
  <c r="M677" i="40"/>
  <c r="M678" i="40"/>
  <c r="M679" i="40"/>
  <c r="M680" i="40"/>
  <c r="M681" i="40"/>
  <c r="M682" i="40"/>
  <c r="M683" i="40"/>
  <c r="M684" i="40"/>
  <c r="M685" i="40"/>
  <c r="M686" i="40"/>
  <c r="M687" i="40"/>
  <c r="M688" i="40"/>
  <c r="M689" i="40"/>
  <c r="M690" i="40"/>
  <c r="M691" i="40"/>
  <c r="M692" i="40"/>
  <c r="M693" i="40"/>
  <c r="M694" i="40"/>
  <c r="M695" i="40"/>
  <c r="M696" i="40"/>
  <c r="M697" i="40"/>
  <c r="M698" i="40"/>
  <c r="M699" i="40"/>
  <c r="M702" i="40"/>
  <c r="M703" i="40"/>
  <c r="M704" i="40"/>
  <c r="M705" i="40"/>
  <c r="M706" i="40"/>
  <c r="M707" i="40"/>
  <c r="M708" i="40"/>
  <c r="M709" i="40"/>
  <c r="M710" i="40"/>
  <c r="M711" i="40"/>
  <c r="M712" i="40"/>
  <c r="M713" i="40"/>
  <c r="M714" i="40"/>
  <c r="M715" i="40"/>
  <c r="M716" i="40"/>
  <c r="M717" i="40"/>
  <c r="M718" i="40"/>
  <c r="M719" i="40"/>
  <c r="M720" i="40"/>
  <c r="M721" i="40"/>
  <c r="M722" i="40"/>
  <c r="M723" i="40"/>
  <c r="M724" i="40"/>
  <c r="M725" i="40"/>
  <c r="M726" i="40"/>
  <c r="M727" i="40"/>
  <c r="M728" i="40"/>
  <c r="M729" i="40"/>
  <c r="M730" i="40"/>
  <c r="M731" i="40"/>
  <c r="M732" i="40"/>
  <c r="M733" i="40"/>
  <c r="M734" i="40"/>
  <c r="M735" i="40"/>
  <c r="M736" i="40"/>
  <c r="M737" i="40"/>
  <c r="M738" i="40"/>
  <c r="M739" i="40"/>
  <c r="M740" i="40"/>
  <c r="M741" i="40"/>
  <c r="M742" i="40"/>
  <c r="M743" i="40"/>
  <c r="M744" i="40"/>
  <c r="M745" i="40"/>
  <c r="M746" i="40"/>
  <c r="M747" i="40"/>
  <c r="M748" i="40"/>
  <c r="M749" i="40"/>
  <c r="M750" i="40"/>
  <c r="M751" i="40"/>
  <c r="M752" i="40"/>
  <c r="M753" i="40"/>
  <c r="M754" i="40"/>
  <c r="M755" i="40"/>
  <c r="M756" i="40"/>
  <c r="M757" i="40"/>
  <c r="M758" i="40"/>
  <c r="M759" i="40"/>
  <c r="M760" i="40"/>
  <c r="M761" i="40"/>
  <c r="M762" i="40"/>
  <c r="M763" i="40"/>
  <c r="M764" i="40"/>
  <c r="M765" i="40"/>
  <c r="M766" i="40"/>
  <c r="M767" i="40"/>
  <c r="M768" i="40"/>
  <c r="M773" i="40"/>
  <c r="M774" i="40"/>
  <c r="M775" i="40"/>
  <c r="M776" i="40"/>
  <c r="M777" i="40"/>
  <c r="M778" i="40"/>
  <c r="M779" i="40"/>
  <c r="M780" i="40"/>
  <c r="M781" i="40"/>
  <c r="M782" i="40"/>
  <c r="M784" i="40"/>
  <c r="M786" i="40"/>
  <c r="M787" i="40"/>
  <c r="M788" i="40"/>
  <c r="M789" i="40"/>
  <c r="M790" i="40"/>
  <c r="M791" i="40"/>
  <c r="M792" i="40"/>
  <c r="M793" i="40"/>
  <c r="M794" i="40"/>
  <c r="M795" i="40"/>
  <c r="M796" i="40"/>
  <c r="M797" i="40"/>
  <c r="M798" i="40"/>
  <c r="M799" i="40"/>
  <c r="M800" i="40"/>
  <c r="M801" i="40"/>
  <c r="M802" i="40"/>
  <c r="M803" i="40"/>
  <c r="M804" i="40"/>
  <c r="M805" i="40"/>
  <c r="M806" i="40"/>
  <c r="M807" i="40"/>
  <c r="M808" i="40"/>
  <c r="M809" i="40"/>
  <c r="M810" i="40"/>
  <c r="M811" i="40"/>
  <c r="M812" i="40"/>
  <c r="M813" i="40"/>
  <c r="M814" i="40"/>
  <c r="M815" i="40"/>
  <c r="M816" i="40"/>
  <c r="M817" i="40"/>
  <c r="M818" i="40"/>
  <c r="M819" i="40"/>
  <c r="M820" i="40"/>
  <c r="M821" i="40"/>
  <c r="M822" i="40"/>
  <c r="M823" i="40"/>
  <c r="M824" i="40"/>
  <c r="M825" i="40"/>
  <c r="M826" i="40"/>
  <c r="M827" i="40"/>
  <c r="M828" i="40"/>
  <c r="M829" i="40"/>
  <c r="M830" i="40"/>
  <c r="M831" i="40"/>
  <c r="M832" i="40"/>
  <c r="M833" i="40"/>
  <c r="M834" i="40"/>
  <c r="M835" i="40"/>
  <c r="M836" i="40"/>
  <c r="M837" i="40"/>
  <c r="M838" i="40"/>
  <c r="M986" i="40"/>
  <c r="M987" i="40"/>
  <c r="M988" i="40"/>
  <c r="M989" i="40"/>
  <c r="M990" i="40"/>
  <c r="M991" i="40"/>
  <c r="M992" i="40"/>
  <c r="M993" i="40"/>
  <c r="M994" i="40"/>
  <c r="M995" i="40"/>
  <c r="M996" i="40"/>
  <c r="M997" i="40"/>
  <c r="M998" i="40"/>
  <c r="M999" i="40"/>
  <c r="M1000" i="40"/>
  <c r="M1001" i="40"/>
  <c r="M1002" i="40"/>
  <c r="M1003" i="40"/>
  <c r="M1004" i="40"/>
  <c r="M1005" i="40"/>
  <c r="M1006" i="40"/>
  <c r="M1007" i="40"/>
  <c r="M1008" i="40"/>
  <c r="M1009" i="40"/>
  <c r="M1010" i="40"/>
  <c r="M1011" i="40"/>
  <c r="M1012" i="40"/>
  <c r="M1013" i="40"/>
  <c r="M1014" i="40"/>
  <c r="M1015" i="40"/>
  <c r="M1016" i="40"/>
  <c r="M1017" i="40"/>
  <c r="M1018" i="40"/>
  <c r="M1019" i="40"/>
  <c r="M1020" i="40"/>
  <c r="M1021" i="40"/>
  <c r="M1022" i="40"/>
  <c r="M1023" i="40"/>
  <c r="M1024" i="40"/>
  <c r="M1025" i="40"/>
  <c r="M1026" i="40"/>
  <c r="M1027" i="40"/>
  <c r="M1028" i="40"/>
  <c r="M1029" i="40"/>
  <c r="M1030" i="40"/>
  <c r="M1031" i="40"/>
  <c r="M1032" i="40"/>
  <c r="M1033" i="40"/>
  <c r="M1035" i="40"/>
  <c r="M1036" i="40"/>
  <c r="M1037" i="40"/>
  <c r="M1038" i="40"/>
  <c r="M1039" i="40"/>
  <c r="M1040" i="40"/>
  <c r="M1041" i="40"/>
  <c r="M1042" i="40"/>
  <c r="M1043" i="40"/>
  <c r="M1044" i="40"/>
  <c r="M1045" i="40"/>
  <c r="M1046" i="40"/>
  <c r="M1047" i="40"/>
  <c r="M1048" i="40"/>
  <c r="M1049" i="40"/>
  <c r="M1050" i="40"/>
  <c r="M1051" i="40"/>
  <c r="M1052" i="40"/>
  <c r="M1057" i="40"/>
  <c r="M1058" i="40"/>
  <c r="M1059" i="40"/>
  <c r="M1060" i="40"/>
  <c r="M1061" i="40"/>
  <c r="M1062" i="40"/>
  <c r="M1065" i="40"/>
  <c r="M1066" i="40"/>
  <c r="M1070" i="40"/>
  <c r="M1074" i="40"/>
  <c r="M1077" i="40"/>
  <c r="M1078" i="40"/>
  <c r="M1082" i="40"/>
  <c r="M1086" i="40"/>
  <c r="M1087" i="40"/>
  <c r="M1090" i="40"/>
  <c r="M1091" i="40"/>
  <c r="M1097" i="40"/>
  <c r="M1098" i="40"/>
  <c r="M1099" i="40"/>
  <c r="M1100" i="40"/>
  <c r="M1101" i="40"/>
  <c r="M1104" i="40"/>
  <c r="M1108" i="40"/>
  <c r="M1109" i="40"/>
  <c r="M1110" i="40"/>
  <c r="M1113" i="40"/>
  <c r="M1114" i="40"/>
  <c r="M1115" i="40"/>
  <c r="M1125" i="40"/>
  <c r="M1129" i="40"/>
  <c r="M1348" i="40"/>
  <c r="M1349" i="40"/>
  <c r="M1350" i="40"/>
  <c r="M1351" i="40"/>
  <c r="M1352" i="40"/>
  <c r="M1353" i="40"/>
  <c r="M1354" i="40"/>
  <c r="M1355" i="40"/>
  <c r="M1356" i="40"/>
  <c r="M1357" i="40"/>
  <c r="M1358" i="40"/>
  <c r="M1359" i="40"/>
  <c r="M1360" i="40"/>
  <c r="M1361" i="40"/>
  <c r="M1362" i="40"/>
  <c r="M1363" i="40"/>
  <c r="M1364" i="40"/>
  <c r="M1365" i="40"/>
  <c r="M1366" i="40"/>
  <c r="M1367" i="40"/>
  <c r="M1368" i="40"/>
  <c r="M1369" i="40"/>
  <c r="M1370" i="40"/>
  <c r="M1371" i="40"/>
  <c r="M1372" i="40"/>
  <c r="M1373" i="40"/>
  <c r="M1374" i="40"/>
  <c r="M1375" i="40"/>
  <c r="M1376" i="40"/>
  <c r="M1377" i="40"/>
  <c r="M1378" i="40"/>
  <c r="M1379" i="40"/>
  <c r="M1380" i="40"/>
  <c r="M1381" i="40"/>
  <c r="M1382" i="40"/>
  <c r="M1383" i="40"/>
  <c r="M1384" i="40"/>
  <c r="M1385" i="40"/>
  <c r="M1386" i="40"/>
  <c r="M1387" i="40"/>
  <c r="M1388" i="40"/>
  <c r="M1389" i="40"/>
  <c r="M1390" i="40"/>
  <c r="M1391" i="40"/>
  <c r="M1392" i="40"/>
  <c r="M1393" i="40"/>
  <c r="M1394" i="40"/>
  <c r="M1395" i="40"/>
  <c r="M1396" i="40"/>
  <c r="M1397" i="40"/>
  <c r="M1398" i="40"/>
  <c r="M1399" i="40"/>
  <c r="M1400" i="40"/>
  <c r="M1401" i="40"/>
  <c r="M1402" i="40"/>
  <c r="M1403" i="40"/>
  <c r="M1404" i="40"/>
  <c r="M1405" i="40"/>
  <c r="M1406" i="40"/>
  <c r="M1407" i="40"/>
  <c r="M1408" i="40"/>
  <c r="M1409" i="40"/>
  <c r="M1410" i="40"/>
  <c r="M1411" i="40"/>
  <c r="M1412" i="40"/>
  <c r="M1413" i="40"/>
  <c r="M1414" i="40"/>
  <c r="M1490" i="40"/>
  <c r="M1492" i="40"/>
  <c r="M1494" i="40"/>
  <c r="M1495" i="40"/>
  <c r="M1498" i="40"/>
  <c r="M1499" i="40"/>
  <c r="M1503" i="40"/>
  <c r="M1505" i="40"/>
  <c r="M1510" i="40"/>
  <c r="M1515" i="40"/>
  <c r="M1524" i="40"/>
  <c r="M1541" i="40"/>
  <c r="M1545" i="40"/>
  <c r="M1546" i="40"/>
  <c r="M1566" i="40"/>
  <c r="D1497" i="40"/>
  <c r="M1497" i="40"/>
  <c r="M1507" i="40"/>
  <c r="D1064" i="40"/>
  <c r="M1064" i="40"/>
  <c r="D1081" i="40"/>
  <c r="M1081" i="40"/>
  <c r="D949" i="24"/>
  <c r="C949" i="24"/>
  <c r="G949" i="24"/>
  <c r="C1247" i="24"/>
  <c r="E1241" i="24"/>
  <c r="E1277" i="24"/>
  <c r="C1241" i="24"/>
  <c r="E1108" i="24"/>
  <c r="C1108" i="24"/>
  <c r="D379" i="24"/>
  <c r="F379" i="24"/>
  <c r="O57" i="1"/>
  <c r="N57" i="1"/>
  <c r="E142" i="41"/>
  <c r="C142" i="41"/>
  <c r="F142" i="41"/>
  <c r="D766" i="42"/>
  <c r="C175" i="42"/>
  <c r="F175" i="42"/>
  <c r="C670" i="42"/>
  <c r="F670" i="42"/>
  <c r="C669" i="42"/>
  <c r="F669" i="42"/>
  <c r="C98" i="42"/>
  <c r="F98" i="42"/>
  <c r="C690" i="42"/>
  <c r="F690" i="42"/>
  <c r="C561" i="42"/>
  <c r="F561" i="42"/>
  <c r="C723" i="42"/>
  <c r="F723" i="42"/>
  <c r="C438" i="42"/>
  <c r="F438" i="42"/>
  <c r="C350" i="42"/>
  <c r="F350" i="42"/>
  <c r="C153" i="42"/>
  <c r="F153" i="42"/>
  <c r="C21" i="42"/>
  <c r="F21" i="42"/>
  <c r="C339" i="42"/>
  <c r="F339" i="42"/>
  <c r="D625" i="40"/>
  <c r="M625" i="40"/>
  <c r="D700" i="40"/>
  <c r="M700" i="40"/>
  <c r="H155" i="22"/>
  <c r="G190" i="22"/>
  <c r="K190" i="22"/>
  <c r="G19" i="15"/>
  <c r="J73" i="22"/>
  <c r="I73" i="22"/>
  <c r="G73" i="22"/>
  <c r="K73" i="22"/>
  <c r="J70" i="22"/>
  <c r="J58" i="22"/>
  <c r="J57" i="22"/>
  <c r="E1357" i="24"/>
  <c r="E1367" i="24"/>
  <c r="O1556" i="40"/>
  <c r="C1351" i="24"/>
  <c r="G1351" i="24"/>
  <c r="C590" i="24"/>
  <c r="G590" i="24"/>
  <c r="J12" i="22"/>
  <c r="G15" i="22"/>
  <c r="K15" i="22"/>
  <c r="G16" i="22"/>
  <c r="G17" i="22"/>
  <c r="K17" i="22"/>
  <c r="G18" i="22"/>
  <c r="K18" i="22"/>
  <c r="G19" i="22"/>
  <c r="K19" i="22"/>
  <c r="G20" i="22"/>
  <c r="K20" i="22"/>
  <c r="G21" i="22"/>
  <c r="R20" i="22"/>
  <c r="K21" i="22"/>
  <c r="G22" i="22"/>
  <c r="K22" i="22"/>
  <c r="G23" i="22"/>
  <c r="P23" i="22"/>
  <c r="K24" i="22"/>
  <c r="O24" i="22"/>
  <c r="P24" i="22"/>
  <c r="R24" i="22"/>
  <c r="O27" i="22"/>
  <c r="P27" i="22"/>
  <c r="H29" i="22"/>
  <c r="I29" i="22"/>
  <c r="J29" i="22"/>
  <c r="J28" i="22"/>
  <c r="G30" i="22"/>
  <c r="G31" i="22"/>
  <c r="K31" i="22"/>
  <c r="R31" i="22"/>
  <c r="L32" i="22"/>
  <c r="M32" i="22"/>
  <c r="R32" i="22"/>
  <c r="R33" i="22"/>
  <c r="M34" i="22"/>
  <c r="R34" i="22"/>
  <c r="M35" i="22"/>
  <c r="H38" i="22"/>
  <c r="I38" i="22"/>
  <c r="I37" i="22"/>
  <c r="I329" i="22"/>
  <c r="J38" i="22"/>
  <c r="G39" i="22"/>
  <c r="K39" i="22"/>
  <c r="I42" i="22"/>
  <c r="G43" i="22"/>
  <c r="G42" i="22"/>
  <c r="G37" i="22"/>
  <c r="H44" i="22"/>
  <c r="I44" i="22"/>
  <c r="J44" i="22"/>
  <c r="G45" i="22"/>
  <c r="K45" i="22"/>
  <c r="G46" i="22"/>
  <c r="K46" i="22"/>
  <c r="G47" i="22"/>
  <c r="K47" i="22"/>
  <c r="G51" i="22"/>
  <c r="K51" i="22"/>
  <c r="G52" i="22"/>
  <c r="K52" i="22"/>
  <c r="G53" i="22"/>
  <c r="K53" i="22"/>
  <c r="G54" i="22"/>
  <c r="K54" i="22"/>
  <c r="G55" i="22"/>
  <c r="K55" i="22"/>
  <c r="G56" i="22"/>
  <c r="K56" i="22"/>
  <c r="H58" i="22"/>
  <c r="H57" i="22"/>
  <c r="H288" i="22"/>
  <c r="H354" i="22"/>
  <c r="G59" i="22"/>
  <c r="K59" i="22"/>
  <c r="G60" i="22"/>
  <c r="G61" i="22"/>
  <c r="K61" i="22"/>
  <c r="G62" i="22"/>
  <c r="K62" i="22"/>
  <c r="G63" i="22"/>
  <c r="K63" i="22"/>
  <c r="G64" i="22"/>
  <c r="G65" i="22"/>
  <c r="K65" i="22"/>
  <c r="G66" i="22"/>
  <c r="G67" i="22"/>
  <c r="K67" i="22"/>
  <c r="G68" i="22"/>
  <c r="K68" i="22"/>
  <c r="L68" i="22"/>
  <c r="G70" i="22"/>
  <c r="G69" i="22"/>
  <c r="G71" i="22"/>
  <c r="K71" i="22"/>
  <c r="G72" i="22"/>
  <c r="K72" i="22"/>
  <c r="G75" i="22"/>
  <c r="R75" i="22"/>
  <c r="I76" i="22"/>
  <c r="G78" i="22"/>
  <c r="K78" i="22"/>
  <c r="G79" i="22"/>
  <c r="G80" i="22"/>
  <c r="K80" i="22"/>
  <c r="G81" i="22"/>
  <c r="G82" i="22"/>
  <c r="K82" i="22"/>
  <c r="G83" i="22"/>
  <c r="K83" i="22"/>
  <c r="H83" i="22"/>
  <c r="H77" i="22"/>
  <c r="H76" i="22"/>
  <c r="G84" i="22"/>
  <c r="K84" i="22"/>
  <c r="G85" i="22"/>
  <c r="K85" i="22"/>
  <c r="G86" i="22"/>
  <c r="K86" i="22"/>
  <c r="G87" i="22"/>
  <c r="K87" i="22"/>
  <c r="G88" i="22"/>
  <c r="L88" i="22"/>
  <c r="G89" i="22"/>
  <c r="K89" i="22"/>
  <c r="G90" i="22"/>
  <c r="K90" i="22"/>
  <c r="G91" i="22"/>
  <c r="K91" i="22"/>
  <c r="G92" i="22"/>
  <c r="G93" i="22"/>
  <c r="G94" i="22"/>
  <c r="L94" i="22"/>
  <c r="G95" i="22"/>
  <c r="L95" i="22"/>
  <c r="G96" i="22"/>
  <c r="K96" i="22"/>
  <c r="G98" i="22"/>
  <c r="G99" i="22"/>
  <c r="K99" i="22"/>
  <c r="G100" i="22"/>
  <c r="K100" i="22"/>
  <c r="G101" i="22"/>
  <c r="K101" i="22"/>
  <c r="I104" i="22"/>
  <c r="I103" i="22"/>
  <c r="J104" i="22"/>
  <c r="J103" i="22"/>
  <c r="G105" i="22"/>
  <c r="G106" i="22"/>
  <c r="K106" i="22"/>
  <c r="G107" i="22"/>
  <c r="K107" i="22"/>
  <c r="G108" i="22"/>
  <c r="K108" i="22"/>
  <c r="G109" i="22"/>
  <c r="M109" i="22"/>
  <c r="K109" i="22"/>
  <c r="I111" i="22"/>
  <c r="I110" i="22"/>
  <c r="J111" i="22"/>
  <c r="J110" i="22"/>
  <c r="G112" i="22"/>
  <c r="K112" i="22"/>
  <c r="G113" i="22"/>
  <c r="L113" i="22"/>
  <c r="K113" i="22"/>
  <c r="G114" i="22"/>
  <c r="K114" i="22"/>
  <c r="G115" i="22"/>
  <c r="L115" i="22"/>
  <c r="G116" i="22"/>
  <c r="K116" i="22"/>
  <c r="G117" i="22"/>
  <c r="K117" i="22"/>
  <c r="G118" i="22"/>
  <c r="R117" i="22"/>
  <c r="G119" i="22"/>
  <c r="K119" i="22"/>
  <c r="G120" i="22"/>
  <c r="G121" i="22"/>
  <c r="K121" i="22"/>
  <c r="G122" i="22"/>
  <c r="K122" i="22"/>
  <c r="G124" i="22"/>
  <c r="K124" i="22"/>
  <c r="G126" i="22"/>
  <c r="K126" i="22"/>
  <c r="G127" i="22"/>
  <c r="G128" i="22"/>
  <c r="G129" i="22"/>
  <c r="K129" i="22"/>
  <c r="G130" i="22"/>
  <c r="K130" i="22"/>
  <c r="G133" i="22"/>
  <c r="K133" i="22"/>
  <c r="G134" i="22"/>
  <c r="G135" i="22"/>
  <c r="K135" i="22"/>
  <c r="G136" i="22"/>
  <c r="M136" i="22"/>
  <c r="G137" i="22"/>
  <c r="M137" i="22"/>
  <c r="G138" i="22"/>
  <c r="K138" i="22"/>
  <c r="G139" i="22"/>
  <c r="L139" i="22"/>
  <c r="K139" i="22"/>
  <c r="G140" i="22"/>
  <c r="R139" i="22"/>
  <c r="G141" i="22"/>
  <c r="K141" i="22"/>
  <c r="M141" i="22"/>
  <c r="G142" i="22"/>
  <c r="G143" i="22"/>
  <c r="G144" i="22"/>
  <c r="G145" i="22"/>
  <c r="K145" i="22"/>
  <c r="M145" i="22"/>
  <c r="G146" i="22"/>
  <c r="M146" i="22"/>
  <c r="G147" i="22"/>
  <c r="G148" i="22"/>
  <c r="G149" i="22"/>
  <c r="K149" i="22"/>
  <c r="G150" i="22"/>
  <c r="G151" i="22"/>
  <c r="G152" i="22"/>
  <c r="K152" i="22"/>
  <c r="G153" i="22"/>
  <c r="K153" i="22"/>
  <c r="H154" i="22"/>
  <c r="G156" i="22"/>
  <c r="G157" i="22"/>
  <c r="G158" i="22"/>
  <c r="K158" i="22"/>
  <c r="G159" i="22"/>
  <c r="M159" i="22"/>
  <c r="G160" i="22"/>
  <c r="K160" i="22"/>
  <c r="G161" i="22"/>
  <c r="K161" i="22"/>
  <c r="G162" i="22"/>
  <c r="G163" i="22"/>
  <c r="G164" i="22"/>
  <c r="K164" i="22"/>
  <c r="G165" i="22"/>
  <c r="K165" i="22"/>
  <c r="G166" i="22"/>
  <c r="K166" i="22"/>
  <c r="G167" i="22"/>
  <c r="G168" i="22"/>
  <c r="K168" i="22"/>
  <c r="G169" i="22"/>
  <c r="K169" i="22"/>
  <c r="G170" i="22"/>
  <c r="G171" i="22"/>
  <c r="K171" i="22"/>
  <c r="G172" i="22"/>
  <c r="K172" i="22"/>
  <c r="G173" i="22"/>
  <c r="K173" i="22"/>
  <c r="G174" i="22"/>
  <c r="K174" i="22"/>
  <c r="G175" i="22"/>
  <c r="K175" i="22"/>
  <c r="G176" i="22"/>
  <c r="G177" i="22"/>
  <c r="K177" i="22"/>
  <c r="G178" i="22"/>
  <c r="K178" i="22"/>
  <c r="L178" i="22"/>
  <c r="M178" i="22"/>
  <c r="G179" i="22"/>
  <c r="K179" i="22"/>
  <c r="G180" i="22"/>
  <c r="L181" i="22"/>
  <c r="G182" i="22"/>
  <c r="G183" i="22"/>
  <c r="K183" i="22"/>
  <c r="G184" i="22"/>
  <c r="K184" i="22"/>
  <c r="G185" i="22"/>
  <c r="K185" i="22"/>
  <c r="G186" i="22"/>
  <c r="K186" i="22"/>
  <c r="G187" i="22"/>
  <c r="G189" i="22"/>
  <c r="K189" i="22"/>
  <c r="G191" i="22"/>
  <c r="G192" i="22"/>
  <c r="K192" i="22"/>
  <c r="G193" i="22"/>
  <c r="K193" i="22"/>
  <c r="G194" i="22"/>
  <c r="K194" i="22"/>
  <c r="G195" i="22"/>
  <c r="K195" i="22"/>
  <c r="G196" i="22"/>
  <c r="M196" i="22"/>
  <c r="G198" i="22"/>
  <c r="M198" i="22"/>
  <c r="G199" i="22"/>
  <c r="K199" i="22"/>
  <c r="G200" i="22"/>
  <c r="G201" i="22"/>
  <c r="K201" i="22"/>
  <c r="G202" i="22"/>
  <c r="G203" i="22"/>
  <c r="M203" i="22"/>
  <c r="G204" i="22"/>
  <c r="G205" i="22"/>
  <c r="K205" i="22"/>
  <c r="H207" i="22"/>
  <c r="H206" i="22"/>
  <c r="I207" i="22"/>
  <c r="I206" i="22"/>
  <c r="J207" i="22"/>
  <c r="J206" i="22"/>
  <c r="G208" i="22"/>
  <c r="K208" i="22"/>
  <c r="R208" i="22"/>
  <c r="G209" i="22"/>
  <c r="G210" i="22"/>
  <c r="K210" i="22"/>
  <c r="I213" i="22"/>
  <c r="J213" i="22"/>
  <c r="J212" i="22"/>
  <c r="G216" i="22"/>
  <c r="R215" i="22"/>
  <c r="G217" i="22"/>
  <c r="K217" i="22"/>
  <c r="G219" i="22"/>
  <c r="M219" i="22"/>
  <c r="G221" i="22"/>
  <c r="M221" i="22"/>
  <c r="I222" i="22"/>
  <c r="J222" i="22"/>
  <c r="G224" i="22"/>
  <c r="G223" i="22"/>
  <c r="K223" i="22"/>
  <c r="K224" i="22"/>
  <c r="G225" i="22"/>
  <c r="G226" i="22"/>
  <c r="G227" i="22"/>
  <c r="L227" i="22"/>
  <c r="G228" i="22"/>
  <c r="K228" i="22"/>
  <c r="G229" i="22"/>
  <c r="G230" i="22"/>
  <c r="G231" i="22"/>
  <c r="K231" i="22"/>
  <c r="H232" i="22"/>
  <c r="G232" i="22"/>
  <c r="I232" i="22"/>
  <c r="I233" i="22"/>
  <c r="J233" i="22"/>
  <c r="G234" i="22"/>
  <c r="G235" i="22"/>
  <c r="G236" i="22"/>
  <c r="K236" i="22"/>
  <c r="H238" i="22"/>
  <c r="H237" i="22"/>
  <c r="I238" i="22"/>
  <c r="J238" i="22"/>
  <c r="J237" i="22"/>
  <c r="G239" i="22"/>
  <c r="L239" i="22"/>
  <c r="G240" i="22"/>
  <c r="R239" i="22"/>
  <c r="G241" i="22"/>
  <c r="K241" i="22"/>
  <c r="G242" i="22"/>
  <c r="G243" i="22"/>
  <c r="G244" i="22"/>
  <c r="R243" i="22"/>
  <c r="G245" i="22"/>
  <c r="R244" i="22"/>
  <c r="R245" i="22"/>
  <c r="G246" i="22"/>
  <c r="M246" i="22"/>
  <c r="K246" i="22"/>
  <c r="G247" i="22"/>
  <c r="G248" i="22"/>
  <c r="K248" i="22"/>
  <c r="G249" i="22"/>
  <c r="G250" i="22"/>
  <c r="L250" i="22"/>
  <c r="G251" i="22"/>
  <c r="G252" i="22"/>
  <c r="K252" i="22"/>
  <c r="G253" i="22"/>
  <c r="K253" i="22"/>
  <c r="G254" i="22"/>
  <c r="K254" i="22"/>
  <c r="G255" i="22"/>
  <c r="K255" i="22"/>
  <c r="G256" i="22"/>
  <c r="K256" i="22"/>
  <c r="G257" i="22"/>
  <c r="K257" i="22"/>
  <c r="G258" i="22"/>
  <c r="K258" i="22"/>
  <c r="G259" i="22"/>
  <c r="K259" i="22"/>
  <c r="G260" i="22"/>
  <c r="K260" i="22"/>
  <c r="G261" i="22"/>
  <c r="K261" i="22"/>
  <c r="G262" i="22"/>
  <c r="K262" i="22"/>
  <c r="G263" i="22"/>
  <c r="G264" i="22"/>
  <c r="K264" i="22"/>
  <c r="G265" i="22"/>
  <c r="G266" i="22"/>
  <c r="K266" i="22"/>
  <c r="G267" i="22"/>
  <c r="M267" i="22"/>
  <c r="G268" i="22"/>
  <c r="K268" i="22"/>
  <c r="G269" i="22"/>
  <c r="K269" i="22"/>
  <c r="G270" i="22"/>
  <c r="K270" i="22"/>
  <c r="G271" i="22"/>
  <c r="K271" i="22"/>
  <c r="G272" i="22"/>
  <c r="K272" i="22"/>
  <c r="G273" i="22"/>
  <c r="K273" i="22"/>
  <c r="G274" i="22"/>
  <c r="K274" i="22"/>
  <c r="G275" i="22"/>
  <c r="K275" i="22"/>
  <c r="G276" i="22"/>
  <c r="K276" i="22"/>
  <c r="G277" i="22"/>
  <c r="K277" i="22"/>
  <c r="G278" i="22"/>
  <c r="K278" i="22"/>
  <c r="G279" i="22"/>
  <c r="K279" i="22"/>
  <c r="G280" i="22"/>
  <c r="K280" i="22"/>
  <c r="G281" i="22"/>
  <c r="K281" i="22"/>
  <c r="G282" i="22"/>
  <c r="K282" i="22"/>
  <c r="G283" i="22"/>
  <c r="K283" i="22"/>
  <c r="G284" i="22"/>
  <c r="K284" i="22"/>
  <c r="G285" i="22"/>
  <c r="K285" i="22"/>
  <c r="G286" i="22"/>
  <c r="K286" i="22"/>
  <c r="G287" i="22"/>
  <c r="K287" i="22"/>
  <c r="K289" i="22"/>
  <c r="L12" i="15"/>
  <c r="G14" i="15"/>
  <c r="G13" i="15"/>
  <c r="L15" i="15"/>
  <c r="I16" i="15"/>
  <c r="L16" i="15"/>
  <c r="L17" i="15"/>
  <c r="H19" i="15"/>
  <c r="L21" i="15"/>
  <c r="L22" i="15"/>
  <c r="L23" i="15"/>
  <c r="G27" i="15"/>
  <c r="G26" i="15"/>
  <c r="I27" i="15"/>
  <c r="I26" i="15"/>
  <c r="L26" i="15"/>
  <c r="L28" i="15"/>
  <c r="G31" i="15"/>
  <c r="G29" i="15"/>
  <c r="I31" i="15"/>
  <c r="I29" i="15"/>
  <c r="L34" i="15"/>
  <c r="L41" i="15"/>
  <c r="L43" i="15"/>
  <c r="L46" i="15"/>
  <c r="L47" i="15"/>
  <c r="L49" i="15"/>
  <c r="L51" i="15"/>
  <c r="L53" i="15"/>
  <c r="L58" i="15"/>
  <c r="L59" i="15"/>
  <c r="L61" i="15"/>
  <c r="L64" i="15"/>
  <c r="L68" i="15"/>
  <c r="L69" i="15"/>
  <c r="L71" i="15"/>
  <c r="L73" i="15"/>
  <c r="L74" i="15"/>
  <c r="L75" i="15"/>
  <c r="L76" i="15"/>
  <c r="M76" i="15"/>
  <c r="L77" i="15"/>
  <c r="M77" i="15"/>
  <c r="L80" i="15"/>
  <c r="L82" i="15"/>
  <c r="L84" i="15"/>
  <c r="L85" i="15"/>
  <c r="L88" i="15"/>
  <c r="L89" i="15"/>
  <c r="L92" i="15"/>
  <c r="L93" i="15"/>
  <c r="L94" i="15"/>
  <c r="L96" i="15"/>
  <c r="L98" i="15"/>
  <c r="L99" i="15"/>
  <c r="L107" i="15"/>
  <c r="I109" i="15"/>
  <c r="M109" i="15"/>
  <c r="L110" i="15"/>
  <c r="M110" i="15"/>
  <c r="L111" i="15"/>
  <c r="M111" i="15"/>
  <c r="L112" i="15"/>
  <c r="M112" i="15"/>
  <c r="L113" i="15"/>
  <c r="M113" i="15"/>
  <c r="L114" i="15"/>
  <c r="M114" i="15"/>
  <c r="L115" i="15"/>
  <c r="M115" i="15"/>
  <c r="L116" i="15"/>
  <c r="M116" i="15"/>
  <c r="L117" i="15"/>
  <c r="M117" i="15"/>
  <c r="L119" i="15"/>
  <c r="C11" i="44"/>
  <c r="F11" i="44"/>
  <c r="C12" i="44"/>
  <c r="F12" i="44"/>
  <c r="C13" i="44"/>
  <c r="F13" i="44"/>
  <c r="C14" i="44"/>
  <c r="F14" i="44"/>
  <c r="C15" i="44"/>
  <c r="F15" i="44"/>
  <c r="C16" i="44"/>
  <c r="F16" i="44"/>
  <c r="C17" i="44"/>
  <c r="F17" i="44"/>
  <c r="C18" i="44"/>
  <c r="F18" i="44"/>
  <c r="C19" i="44"/>
  <c r="F19" i="44"/>
  <c r="C20" i="44"/>
  <c r="F20" i="44"/>
  <c r="C21" i="44"/>
  <c r="D21" i="44"/>
  <c r="E21" i="44"/>
  <c r="F21" i="44"/>
  <c r="F22" i="44"/>
  <c r="C23" i="44"/>
  <c r="F23" i="44"/>
  <c r="C24" i="44"/>
  <c r="F24" i="44"/>
  <c r="C25" i="44"/>
  <c r="F25" i="44"/>
  <c r="C26" i="44"/>
  <c r="F26" i="44"/>
  <c r="C27" i="44"/>
  <c r="F27" i="44"/>
  <c r="C28" i="44"/>
  <c r="F28" i="44"/>
  <c r="C29" i="44"/>
  <c r="F29" i="44"/>
  <c r="C30" i="44"/>
  <c r="F30" i="44"/>
  <c r="C31" i="44"/>
  <c r="F31" i="44"/>
  <c r="C32" i="44"/>
  <c r="D32" i="44"/>
  <c r="E32" i="44"/>
  <c r="F32" i="44"/>
  <c r="C33" i="44"/>
  <c r="F33" i="44"/>
  <c r="C34" i="44"/>
  <c r="F34" i="44"/>
  <c r="C35" i="44"/>
  <c r="F35" i="44"/>
  <c r="C36" i="44"/>
  <c r="F36" i="44"/>
  <c r="C37" i="44"/>
  <c r="F37" i="44"/>
  <c r="C38" i="44"/>
  <c r="F38" i="44"/>
  <c r="C39" i="44"/>
  <c r="F39" i="44"/>
  <c r="C40" i="44"/>
  <c r="F40" i="44"/>
  <c r="C41" i="44"/>
  <c r="F41" i="44"/>
  <c r="C42" i="44"/>
  <c r="F42" i="44"/>
  <c r="C43" i="44"/>
  <c r="D43" i="44"/>
  <c r="E43" i="44"/>
  <c r="F43" i="44"/>
  <c r="F44" i="44"/>
  <c r="F45" i="44"/>
  <c r="C46" i="44"/>
  <c r="F46" i="44"/>
  <c r="C47" i="44"/>
  <c r="F47" i="44"/>
  <c r="C48" i="44"/>
  <c r="F48" i="44"/>
  <c r="C49" i="44"/>
  <c r="F49" i="44"/>
  <c r="C50" i="44"/>
  <c r="F50" i="44"/>
  <c r="C51" i="44"/>
  <c r="F51" i="44"/>
  <c r="C52" i="44"/>
  <c r="F52" i="44"/>
  <c r="C53" i="44"/>
  <c r="F53" i="44"/>
  <c r="C54" i="44"/>
  <c r="D54" i="44"/>
  <c r="E54" i="44"/>
  <c r="F54" i="44"/>
  <c r="C55" i="44"/>
  <c r="F55" i="44"/>
  <c r="C56" i="44"/>
  <c r="F56" i="44"/>
  <c r="C57" i="44"/>
  <c r="F57" i="44"/>
  <c r="C58" i="44"/>
  <c r="F58" i="44"/>
  <c r="C59" i="44"/>
  <c r="F59" i="44"/>
  <c r="C60" i="44"/>
  <c r="F60" i="44"/>
  <c r="C61" i="44"/>
  <c r="F61" i="44"/>
  <c r="C62" i="44"/>
  <c r="F62" i="44"/>
  <c r="C63" i="44"/>
  <c r="F63" i="44"/>
  <c r="C64" i="44"/>
  <c r="F64" i="44"/>
  <c r="C65" i="44"/>
  <c r="D65" i="44"/>
  <c r="E65" i="44"/>
  <c r="F65" i="44"/>
  <c r="C66" i="44"/>
  <c r="F66" i="44"/>
  <c r="C67" i="44"/>
  <c r="F67" i="44"/>
  <c r="C68" i="44"/>
  <c r="F68" i="44"/>
  <c r="C69" i="44"/>
  <c r="F69" i="44"/>
  <c r="C70" i="44"/>
  <c r="F70" i="44"/>
  <c r="C71" i="44"/>
  <c r="F71" i="44"/>
  <c r="C72" i="44"/>
  <c r="F72" i="44"/>
  <c r="C73" i="44"/>
  <c r="F73" i="44"/>
  <c r="C74" i="44"/>
  <c r="F74" i="44"/>
  <c r="C75" i="44"/>
  <c r="F75" i="44"/>
  <c r="C76" i="44"/>
  <c r="D76" i="44"/>
  <c r="E76" i="44"/>
  <c r="F76" i="44"/>
  <c r="F77" i="44"/>
  <c r="C78" i="44"/>
  <c r="F78" i="44"/>
  <c r="C79" i="44"/>
  <c r="F79" i="44"/>
  <c r="C80" i="44"/>
  <c r="F80" i="44"/>
  <c r="C81" i="44"/>
  <c r="F81" i="44"/>
  <c r="C82" i="44"/>
  <c r="F82" i="44"/>
  <c r="C83" i="44"/>
  <c r="F83" i="44"/>
  <c r="C84" i="44"/>
  <c r="F84" i="44"/>
  <c r="C85" i="44"/>
  <c r="F85" i="44"/>
  <c r="C86" i="44"/>
  <c r="F86" i="44"/>
  <c r="C87" i="44"/>
  <c r="D87" i="44"/>
  <c r="E87" i="44"/>
  <c r="F87" i="44"/>
  <c r="F88" i="44"/>
  <c r="F89" i="44"/>
  <c r="C90" i="44"/>
  <c r="F90" i="44"/>
  <c r="C91" i="44"/>
  <c r="F91" i="44"/>
  <c r="C92" i="44"/>
  <c r="F92" i="44"/>
  <c r="C93" i="44"/>
  <c r="F93" i="44"/>
  <c r="C94" i="44"/>
  <c r="F94" i="44"/>
  <c r="C95" i="44"/>
  <c r="F95" i="44"/>
  <c r="C96" i="44"/>
  <c r="F96" i="44"/>
  <c r="C97" i="44"/>
  <c r="F97" i="44"/>
  <c r="C98" i="44"/>
  <c r="D98" i="44"/>
  <c r="E98" i="44"/>
  <c r="F98" i="44"/>
  <c r="C99" i="44"/>
  <c r="F99" i="44"/>
  <c r="C100" i="44"/>
  <c r="F100" i="44"/>
  <c r="C101" i="44"/>
  <c r="F101" i="44"/>
  <c r="C102" i="44"/>
  <c r="F102" i="44"/>
  <c r="C103" i="44"/>
  <c r="F103" i="44"/>
  <c r="C104" i="44"/>
  <c r="F104" i="44"/>
  <c r="C105" i="44"/>
  <c r="F105" i="44"/>
  <c r="C106" i="44"/>
  <c r="F106" i="44"/>
  <c r="C107" i="44"/>
  <c r="F107" i="44"/>
  <c r="C108" i="44"/>
  <c r="F108" i="44"/>
  <c r="C109" i="44"/>
  <c r="D109" i="44"/>
  <c r="E109" i="44"/>
  <c r="F109" i="44"/>
  <c r="C110" i="44"/>
  <c r="F110" i="44"/>
  <c r="C111" i="44"/>
  <c r="F111" i="44"/>
  <c r="C112" i="44"/>
  <c r="F112" i="44"/>
  <c r="C113" i="44"/>
  <c r="F113" i="44"/>
  <c r="C114" i="44"/>
  <c r="F114" i="44"/>
  <c r="C115" i="44"/>
  <c r="F115" i="44"/>
  <c r="C116" i="44"/>
  <c r="F116" i="44"/>
  <c r="C117" i="44"/>
  <c r="F117" i="44"/>
  <c r="C118" i="44"/>
  <c r="F118" i="44"/>
  <c r="C119" i="44"/>
  <c r="F119" i="44"/>
  <c r="C120" i="44"/>
  <c r="D120" i="44"/>
  <c r="E120" i="44"/>
  <c r="F120" i="44"/>
  <c r="F121" i="44"/>
  <c r="F122" i="44"/>
  <c r="F123" i="44"/>
  <c r="C124" i="44"/>
  <c r="F124" i="44"/>
  <c r="C125" i="44"/>
  <c r="F125" i="44"/>
  <c r="C126" i="44"/>
  <c r="F126" i="44"/>
  <c r="C127" i="44"/>
  <c r="F127" i="44"/>
  <c r="C128" i="44"/>
  <c r="F128" i="44"/>
  <c r="C129" i="44"/>
  <c r="F129" i="44"/>
  <c r="C130" i="44"/>
  <c r="F130" i="44"/>
  <c r="C131" i="44"/>
  <c r="D131" i="44"/>
  <c r="E131" i="44"/>
  <c r="F131" i="44"/>
  <c r="F132" i="44"/>
  <c r="F133" i="44"/>
  <c r="F134" i="44"/>
  <c r="F135" i="44"/>
  <c r="F136" i="44"/>
  <c r="F137" i="44"/>
  <c r="F138" i="44"/>
  <c r="F139" i="44"/>
  <c r="F140" i="44"/>
  <c r="F141" i="44"/>
  <c r="C142" i="44"/>
  <c r="D142" i="44"/>
  <c r="E142" i="44"/>
  <c r="F142" i="44"/>
  <c r="F143" i="44"/>
  <c r="F144" i="44"/>
  <c r="F145" i="44"/>
  <c r="F146" i="44"/>
  <c r="F147" i="44"/>
  <c r="F148" i="44"/>
  <c r="F149" i="44"/>
  <c r="F150" i="44"/>
  <c r="F151" i="44"/>
  <c r="C152" i="44"/>
  <c r="F152" i="44"/>
  <c r="C153" i="44"/>
  <c r="D153" i="44"/>
  <c r="E153" i="44"/>
  <c r="F153" i="44"/>
  <c r="C154" i="44"/>
  <c r="F154" i="44"/>
  <c r="C155" i="44"/>
  <c r="F155" i="44"/>
  <c r="C156" i="44"/>
  <c r="F156" i="44"/>
  <c r="C157" i="44"/>
  <c r="F157" i="44"/>
  <c r="C158" i="44"/>
  <c r="F158" i="44"/>
  <c r="C159" i="44"/>
  <c r="F159" i="44"/>
  <c r="C160" i="44"/>
  <c r="F160" i="44"/>
  <c r="C161" i="44"/>
  <c r="F161" i="44"/>
  <c r="C162" i="44"/>
  <c r="F162" i="44"/>
  <c r="C163" i="44"/>
  <c r="F163" i="44"/>
  <c r="C164" i="44"/>
  <c r="D164" i="44"/>
  <c r="E164" i="44"/>
  <c r="F164" i="44"/>
  <c r="F165" i="44"/>
  <c r="F166" i="44"/>
  <c r="C167" i="44"/>
  <c r="F167" i="44"/>
  <c r="C168" i="44"/>
  <c r="F168" i="44"/>
  <c r="C169" i="44"/>
  <c r="F169" i="44"/>
  <c r="C170" i="44"/>
  <c r="F170" i="44"/>
  <c r="C171" i="44"/>
  <c r="F171" i="44"/>
  <c r="C172" i="44"/>
  <c r="F172" i="44"/>
  <c r="C173" i="44"/>
  <c r="F173" i="44"/>
  <c r="C174" i="44"/>
  <c r="F174" i="44"/>
  <c r="C175" i="44"/>
  <c r="D175" i="44"/>
  <c r="E175" i="44"/>
  <c r="F175" i="44"/>
  <c r="C176" i="44"/>
  <c r="F176" i="44"/>
  <c r="C177" i="44"/>
  <c r="F177" i="44"/>
  <c r="C178" i="44"/>
  <c r="F178" i="44"/>
  <c r="C179" i="44"/>
  <c r="F179" i="44"/>
  <c r="C180" i="44"/>
  <c r="F180" i="44"/>
  <c r="C181" i="44"/>
  <c r="F181" i="44"/>
  <c r="C182" i="44"/>
  <c r="F182" i="44"/>
  <c r="C183" i="44"/>
  <c r="F183" i="44"/>
  <c r="C184" i="44"/>
  <c r="F184" i="44"/>
  <c r="C185" i="44"/>
  <c r="F185" i="44"/>
  <c r="C186" i="44"/>
  <c r="D186" i="44"/>
  <c r="E186" i="44"/>
  <c r="F186" i="44"/>
  <c r="C187" i="44"/>
  <c r="F187" i="44"/>
  <c r="F188" i="44"/>
  <c r="F189" i="44"/>
  <c r="F190" i="44"/>
  <c r="F191" i="44"/>
  <c r="F192" i="44"/>
  <c r="F193" i="44"/>
  <c r="F194" i="44"/>
  <c r="F195" i="44"/>
  <c r="F196" i="44"/>
  <c r="C197" i="44"/>
  <c r="D197" i="44"/>
  <c r="E197" i="44"/>
  <c r="F197" i="44"/>
  <c r="C198" i="44"/>
  <c r="F198" i="44"/>
  <c r="F199" i="44"/>
  <c r="C200" i="44"/>
  <c r="F200" i="44"/>
  <c r="C201" i="44"/>
  <c r="F201" i="44"/>
  <c r="C202" i="44"/>
  <c r="F202" i="44"/>
  <c r="C203" i="44"/>
  <c r="F203" i="44"/>
  <c r="C204" i="44"/>
  <c r="F204" i="44"/>
  <c r="C205" i="44"/>
  <c r="F205" i="44"/>
  <c r="C206" i="44"/>
  <c r="F206" i="44"/>
  <c r="C207" i="44"/>
  <c r="F207" i="44"/>
  <c r="C208" i="44"/>
  <c r="D208" i="44"/>
  <c r="E208" i="44"/>
  <c r="F208" i="44"/>
  <c r="F209" i="44"/>
  <c r="F210" i="44"/>
  <c r="C211" i="44"/>
  <c r="F211" i="44"/>
  <c r="C212" i="44"/>
  <c r="F212" i="44"/>
  <c r="C213" i="44"/>
  <c r="F213" i="44"/>
  <c r="C214" i="44"/>
  <c r="F214" i="44"/>
  <c r="C215" i="44"/>
  <c r="F215" i="44"/>
  <c r="C216" i="44"/>
  <c r="F216" i="44"/>
  <c r="C217" i="44"/>
  <c r="F217" i="44"/>
  <c r="C218" i="44"/>
  <c r="F218" i="44"/>
  <c r="C219" i="44"/>
  <c r="D219" i="44"/>
  <c r="E219" i="44"/>
  <c r="F219" i="44"/>
  <c r="F220" i="44"/>
  <c r="F221" i="44"/>
  <c r="F222" i="44"/>
  <c r="F223" i="44"/>
  <c r="C224" i="44"/>
  <c r="F224" i="44"/>
  <c r="C225" i="44"/>
  <c r="F225" i="44"/>
  <c r="C226" i="44"/>
  <c r="F226" i="44"/>
  <c r="C227" i="44"/>
  <c r="F227" i="44"/>
  <c r="C228" i="44"/>
  <c r="F228" i="44"/>
  <c r="C229" i="44"/>
  <c r="F229" i="44"/>
  <c r="C230" i="44"/>
  <c r="D230" i="44"/>
  <c r="E230" i="44"/>
  <c r="F230" i="44"/>
  <c r="F231" i="44"/>
  <c r="C232" i="44"/>
  <c r="F232" i="44"/>
  <c r="C233" i="44"/>
  <c r="F233" i="44"/>
  <c r="C234" i="44"/>
  <c r="F234" i="44"/>
  <c r="C235" i="44"/>
  <c r="F235" i="44"/>
  <c r="C236" i="44"/>
  <c r="F236" i="44"/>
  <c r="C237" i="44"/>
  <c r="F237" i="44"/>
  <c r="C238" i="44"/>
  <c r="F238" i="44"/>
  <c r="C239" i="44"/>
  <c r="F239" i="44"/>
  <c r="C240" i="44"/>
  <c r="F240" i="44"/>
  <c r="C241" i="44"/>
  <c r="D241" i="44"/>
  <c r="E241" i="44"/>
  <c r="F241" i="44"/>
  <c r="F242" i="44"/>
  <c r="F243" i="44"/>
  <c r="C244" i="44"/>
  <c r="F244" i="44"/>
  <c r="C245" i="44"/>
  <c r="F245" i="44"/>
  <c r="C246" i="44"/>
  <c r="F246" i="44"/>
  <c r="C247" i="44"/>
  <c r="F247" i="44"/>
  <c r="C248" i="44"/>
  <c r="F248" i="44"/>
  <c r="C249" i="44"/>
  <c r="F249" i="44"/>
  <c r="C250" i="44"/>
  <c r="F250" i="44"/>
  <c r="C251" i="44"/>
  <c r="F251" i="44"/>
  <c r="C252" i="44"/>
  <c r="D252" i="44"/>
  <c r="E252" i="44"/>
  <c r="F252" i="44"/>
  <c r="F253" i="44"/>
  <c r="C254" i="44"/>
  <c r="F254" i="44"/>
  <c r="C255" i="44"/>
  <c r="F255" i="44"/>
  <c r="C256" i="44"/>
  <c r="F256" i="44"/>
  <c r="C257" i="44"/>
  <c r="F257" i="44"/>
  <c r="C258" i="44"/>
  <c r="F258" i="44"/>
  <c r="C259" i="44"/>
  <c r="F259" i="44"/>
  <c r="C260" i="44"/>
  <c r="F260" i="44"/>
  <c r="C261" i="44"/>
  <c r="F261" i="44"/>
  <c r="C262" i="44"/>
  <c r="F262" i="44"/>
  <c r="C263" i="44"/>
  <c r="D263" i="44"/>
  <c r="E263" i="44"/>
  <c r="F263" i="44"/>
  <c r="C264" i="44"/>
  <c r="F264" i="44"/>
  <c r="C265" i="44"/>
  <c r="F265" i="44"/>
  <c r="C266" i="44"/>
  <c r="F266" i="44"/>
  <c r="C267" i="44"/>
  <c r="F267" i="44"/>
  <c r="C268" i="44"/>
  <c r="F268" i="44"/>
  <c r="F269" i="44"/>
  <c r="F270" i="44"/>
  <c r="F271" i="44"/>
  <c r="F272" i="44"/>
  <c r="F273" i="44"/>
  <c r="C274" i="44"/>
  <c r="D274" i="44"/>
  <c r="E274" i="44"/>
  <c r="F274" i="44"/>
  <c r="C275" i="44"/>
  <c r="F275" i="44"/>
  <c r="C276" i="44"/>
  <c r="F276" i="44"/>
  <c r="C277" i="44"/>
  <c r="F277" i="44"/>
  <c r="C278" i="44"/>
  <c r="F278" i="44"/>
  <c r="C279" i="44"/>
  <c r="F279" i="44"/>
  <c r="C280" i="44"/>
  <c r="F280" i="44"/>
  <c r="C281" i="44"/>
  <c r="F281" i="44"/>
  <c r="C282" i="44"/>
  <c r="F282" i="44"/>
  <c r="C283" i="44"/>
  <c r="F283" i="44"/>
  <c r="C284" i="44"/>
  <c r="F284" i="44"/>
  <c r="C285" i="44"/>
  <c r="D285" i="44"/>
  <c r="E285" i="44"/>
  <c r="F285" i="44"/>
  <c r="F286" i="44"/>
  <c r="C287" i="44"/>
  <c r="F287" i="44"/>
  <c r="C288" i="44"/>
  <c r="F288" i="44"/>
  <c r="C289" i="44"/>
  <c r="F289" i="44"/>
  <c r="C290" i="44"/>
  <c r="F290" i="44"/>
  <c r="C291" i="44"/>
  <c r="F291" i="44"/>
  <c r="C292" i="44"/>
  <c r="F292" i="44"/>
  <c r="C293" i="44"/>
  <c r="F293" i="44"/>
  <c r="C294" i="44"/>
  <c r="F294" i="44"/>
  <c r="C295" i="44"/>
  <c r="F295" i="44"/>
  <c r="C296" i="44"/>
  <c r="D296" i="44"/>
  <c r="E296" i="44"/>
  <c r="F296" i="44"/>
  <c r="F297" i="44"/>
  <c r="F298" i="44"/>
  <c r="F299" i="44"/>
  <c r="F300" i="44"/>
  <c r="C301" i="44"/>
  <c r="F301" i="44"/>
  <c r="C302" i="44"/>
  <c r="F302" i="44"/>
  <c r="C303" i="44"/>
  <c r="F303" i="44"/>
  <c r="C304" i="44"/>
  <c r="F304" i="44"/>
  <c r="C305" i="44"/>
  <c r="F305" i="44"/>
  <c r="C306" i="44"/>
  <c r="F306" i="44"/>
  <c r="C307" i="44"/>
  <c r="D307" i="44"/>
  <c r="E307" i="44"/>
  <c r="F307" i="44"/>
  <c r="F308" i="44"/>
  <c r="F309" i="44"/>
  <c r="F310" i="44"/>
  <c r="F311" i="44"/>
  <c r="F312" i="44"/>
  <c r="C313" i="44"/>
  <c r="F313" i="44"/>
  <c r="C314" i="44"/>
  <c r="F314" i="44"/>
  <c r="C315" i="44"/>
  <c r="F315" i="44"/>
  <c r="C316" i="44"/>
  <c r="F316" i="44"/>
  <c r="C317" i="44"/>
  <c r="F317" i="44"/>
  <c r="C318" i="44"/>
  <c r="D318" i="44"/>
  <c r="E318" i="44"/>
  <c r="F318" i="44"/>
  <c r="F319" i="44"/>
  <c r="F320" i="44"/>
  <c r="F321" i="44"/>
  <c r="C322" i="44"/>
  <c r="F322" i="44"/>
  <c r="C323" i="44"/>
  <c r="F323" i="44"/>
  <c r="C324" i="44"/>
  <c r="F324" i="44"/>
  <c r="C325" i="44"/>
  <c r="F325" i="44"/>
  <c r="C326" i="44"/>
  <c r="F326" i="44"/>
  <c r="C327" i="44"/>
  <c r="F327" i="44"/>
  <c r="C328" i="44"/>
  <c r="F328" i="44"/>
  <c r="C329" i="44"/>
  <c r="D329" i="44"/>
  <c r="E329" i="44"/>
  <c r="F329" i="44"/>
  <c r="F330" i="44"/>
  <c r="F331" i="44"/>
  <c r="F332" i="44"/>
  <c r="C333" i="44"/>
  <c r="F333" i="44"/>
  <c r="C334" i="44"/>
  <c r="F334" i="44"/>
  <c r="C335" i="44"/>
  <c r="F335" i="44"/>
  <c r="C336" i="44"/>
  <c r="F336" i="44"/>
  <c r="C337" i="44"/>
  <c r="F337" i="44"/>
  <c r="C338" i="44"/>
  <c r="F338" i="44"/>
  <c r="C339" i="44"/>
  <c r="F339" i="44"/>
  <c r="C340" i="44"/>
  <c r="D340" i="44"/>
  <c r="E340" i="44"/>
  <c r="F340" i="44"/>
  <c r="C341" i="44"/>
  <c r="F341" i="44"/>
  <c r="C342" i="44"/>
  <c r="F342" i="44"/>
  <c r="C343" i="44"/>
  <c r="F343" i="44"/>
  <c r="C344" i="44"/>
  <c r="F344" i="44"/>
  <c r="C345" i="44"/>
  <c r="F345" i="44"/>
  <c r="C346" i="44"/>
  <c r="F346" i="44"/>
  <c r="C347" i="44"/>
  <c r="F347" i="44"/>
  <c r="C348" i="44"/>
  <c r="F348" i="44"/>
  <c r="C349" i="44"/>
  <c r="F349" i="44"/>
  <c r="C350" i="44"/>
  <c r="F350" i="44"/>
  <c r="C351" i="44"/>
  <c r="D351" i="44"/>
  <c r="E351" i="44"/>
  <c r="F351" i="44"/>
  <c r="F352" i="44"/>
  <c r="C353" i="44"/>
  <c r="F353" i="44"/>
  <c r="C354" i="44"/>
  <c r="F354" i="44"/>
  <c r="C355" i="44"/>
  <c r="F355" i="44"/>
  <c r="C356" i="44"/>
  <c r="F356" i="44"/>
  <c r="C357" i="44"/>
  <c r="F357" i="44"/>
  <c r="C358" i="44"/>
  <c r="F358" i="44"/>
  <c r="C359" i="44"/>
  <c r="F359" i="44"/>
  <c r="C360" i="44"/>
  <c r="F360" i="44"/>
  <c r="C361" i="44"/>
  <c r="F361" i="44"/>
  <c r="C362" i="44"/>
  <c r="D362" i="44"/>
  <c r="E362" i="44"/>
  <c r="F362" i="44"/>
  <c r="F363" i="44"/>
  <c r="F364" i="44"/>
  <c r="F365" i="44"/>
  <c r="F366" i="44"/>
  <c r="F367" i="44"/>
  <c r="F368" i="44"/>
  <c r="F369" i="44"/>
  <c r="F370" i="44"/>
  <c r="C371" i="44"/>
  <c r="F371" i="44"/>
  <c r="F372" i="44"/>
  <c r="F373" i="44"/>
  <c r="F374" i="44"/>
  <c r="C375" i="44"/>
  <c r="F375" i="44"/>
  <c r="C376" i="44"/>
  <c r="D376" i="44"/>
  <c r="E376" i="44"/>
  <c r="F376" i="44"/>
  <c r="C377" i="44"/>
  <c r="F377" i="44"/>
  <c r="C378" i="44"/>
  <c r="F378" i="44"/>
  <c r="C379" i="44"/>
  <c r="F379" i="44"/>
  <c r="C380" i="44"/>
  <c r="F380" i="44"/>
  <c r="C381" i="44"/>
  <c r="F381" i="44"/>
  <c r="C382" i="44"/>
  <c r="F382" i="44"/>
  <c r="C383" i="44"/>
  <c r="F383" i="44"/>
  <c r="C384" i="44"/>
  <c r="F384" i="44"/>
  <c r="C385" i="44"/>
  <c r="F385" i="44"/>
  <c r="C386" i="44"/>
  <c r="F386" i="44"/>
  <c r="C387" i="44"/>
  <c r="D387" i="44"/>
  <c r="E387" i="44"/>
  <c r="F387" i="44"/>
  <c r="C388" i="44"/>
  <c r="F388" i="44"/>
  <c r="C389" i="44"/>
  <c r="F389" i="44"/>
  <c r="C390" i="44"/>
  <c r="F390" i="44"/>
  <c r="C391" i="44"/>
  <c r="F391" i="44"/>
  <c r="C392" i="44"/>
  <c r="F392" i="44"/>
  <c r="C393" i="44"/>
  <c r="F393" i="44"/>
  <c r="C394" i="44"/>
  <c r="F394" i="44"/>
  <c r="C395" i="44"/>
  <c r="F395" i="44"/>
  <c r="C396" i="44"/>
  <c r="F396" i="44"/>
  <c r="C397" i="44"/>
  <c r="F397" i="44"/>
  <c r="C398" i="44"/>
  <c r="D398" i="44"/>
  <c r="E398" i="44"/>
  <c r="F398" i="44"/>
  <c r="C399" i="44"/>
  <c r="F399" i="44"/>
  <c r="C400" i="44"/>
  <c r="F400" i="44"/>
  <c r="C401" i="44"/>
  <c r="F401" i="44"/>
  <c r="C402" i="44"/>
  <c r="F402" i="44"/>
  <c r="C403" i="44"/>
  <c r="F403" i="44"/>
  <c r="C404" i="44"/>
  <c r="F404" i="44"/>
  <c r="C405" i="44"/>
  <c r="F405" i="44"/>
  <c r="C406" i="44"/>
  <c r="F406" i="44"/>
  <c r="C407" i="44"/>
  <c r="F407" i="44"/>
  <c r="C408" i="44"/>
  <c r="F408" i="44"/>
  <c r="C409" i="44"/>
  <c r="D409" i="44"/>
  <c r="E409" i="44"/>
  <c r="F409" i="44"/>
  <c r="F410" i="44"/>
  <c r="F411" i="44"/>
  <c r="F412" i="44"/>
  <c r="F413" i="44"/>
  <c r="F414" i="44"/>
  <c r="F415" i="44"/>
  <c r="F416" i="44"/>
  <c r="F417" i="44"/>
  <c r="F418" i="44"/>
  <c r="F419" i="44"/>
  <c r="F420" i="44"/>
  <c r="F421" i="44"/>
  <c r="F422" i="44"/>
  <c r="F423" i="44"/>
  <c r="C424" i="44"/>
  <c r="F424" i="44"/>
  <c r="C425" i="44"/>
  <c r="F425" i="44"/>
  <c r="C426" i="44"/>
  <c r="D426" i="44"/>
  <c r="E426" i="44"/>
  <c r="F426" i="44"/>
  <c r="F427" i="44"/>
  <c r="C428" i="44"/>
  <c r="F428" i="44"/>
  <c r="F429" i="44"/>
  <c r="F430" i="44"/>
  <c r="C431" i="44"/>
  <c r="F431" i="44"/>
  <c r="C432" i="44"/>
  <c r="F432" i="44"/>
  <c r="F433" i="44"/>
  <c r="F434" i="44"/>
  <c r="C435" i="44"/>
  <c r="F435" i="44"/>
  <c r="C436" i="44"/>
  <c r="F436" i="44"/>
  <c r="C437" i="44"/>
  <c r="D437" i="44"/>
  <c r="E437" i="44"/>
  <c r="F437" i="44"/>
  <c r="F438" i="44"/>
  <c r="F439" i="44"/>
  <c r="F440" i="44"/>
  <c r="C441" i="44"/>
  <c r="F441" i="44"/>
  <c r="C442" i="44"/>
  <c r="F442" i="44"/>
  <c r="C443" i="44"/>
  <c r="F443" i="44"/>
  <c r="C444" i="44"/>
  <c r="F444" i="44"/>
  <c r="C445" i="44"/>
  <c r="F445" i="44"/>
  <c r="C446" i="44"/>
  <c r="F446" i="44"/>
  <c r="C447" i="44"/>
  <c r="F447" i="44"/>
  <c r="C448" i="44"/>
  <c r="D448" i="44"/>
  <c r="E448" i="44"/>
  <c r="F448" i="44"/>
  <c r="F449" i="44"/>
  <c r="F450" i="44"/>
  <c r="F451" i="44"/>
  <c r="F452" i="44"/>
  <c r="C453" i="44"/>
  <c r="F453" i="44"/>
  <c r="C454" i="44"/>
  <c r="F454" i="44"/>
  <c r="C455" i="44"/>
  <c r="F455" i="44"/>
  <c r="C456" i="44"/>
  <c r="F456" i="44"/>
  <c r="C457" i="44"/>
  <c r="F457" i="44"/>
  <c r="C458" i="44"/>
  <c r="F458" i="44"/>
  <c r="C459" i="44"/>
  <c r="D459" i="44"/>
  <c r="E459" i="44"/>
  <c r="F459" i="44"/>
  <c r="C460" i="44"/>
  <c r="F460" i="44"/>
  <c r="C461" i="44"/>
  <c r="F461" i="44"/>
  <c r="C462" i="44"/>
  <c r="F462" i="44"/>
  <c r="C463" i="44"/>
  <c r="F463" i="44"/>
  <c r="C464" i="44"/>
  <c r="F464" i="44"/>
  <c r="C465" i="44"/>
  <c r="F465" i="44"/>
  <c r="C466" i="44"/>
  <c r="F466" i="44"/>
  <c r="C467" i="44"/>
  <c r="F467" i="44"/>
  <c r="C468" i="44"/>
  <c r="F468" i="44"/>
  <c r="C469" i="44"/>
  <c r="F469" i="44"/>
  <c r="C470" i="44"/>
  <c r="D470" i="44"/>
  <c r="E470" i="44"/>
  <c r="F470" i="44"/>
  <c r="C471" i="44"/>
  <c r="F471" i="44"/>
  <c r="C472" i="44"/>
  <c r="F472" i="44"/>
  <c r="C473" i="44"/>
  <c r="F473" i="44"/>
  <c r="C474" i="44"/>
  <c r="F474" i="44"/>
  <c r="C475" i="44"/>
  <c r="F475" i="44"/>
  <c r="C476" i="44"/>
  <c r="F476" i="44"/>
  <c r="C477" i="44"/>
  <c r="F477" i="44"/>
  <c r="C478" i="44"/>
  <c r="F478" i="44"/>
  <c r="C479" i="44"/>
  <c r="F479" i="44"/>
  <c r="C480" i="44"/>
  <c r="F480" i="44"/>
  <c r="C481" i="44"/>
  <c r="D481" i="44"/>
  <c r="E481" i="44"/>
  <c r="F481" i="44"/>
  <c r="C482" i="44"/>
  <c r="F482" i="44"/>
  <c r="C483" i="44"/>
  <c r="F483" i="44"/>
  <c r="C484" i="44"/>
  <c r="F484" i="44"/>
  <c r="C485" i="44"/>
  <c r="F485" i="44"/>
  <c r="C486" i="44"/>
  <c r="F486" i="44"/>
  <c r="C487" i="44"/>
  <c r="F487" i="44"/>
  <c r="C488" i="44"/>
  <c r="F488" i="44"/>
  <c r="C489" i="44"/>
  <c r="F489" i="44"/>
  <c r="C490" i="44"/>
  <c r="F490" i="44"/>
  <c r="C491" i="44"/>
  <c r="F491" i="44"/>
  <c r="C492" i="44"/>
  <c r="D492" i="44"/>
  <c r="E492" i="44"/>
  <c r="F492" i="44"/>
  <c r="C493" i="44"/>
  <c r="F493" i="44"/>
  <c r="C494" i="44"/>
  <c r="F494" i="44"/>
  <c r="C495" i="44"/>
  <c r="F495" i="44"/>
  <c r="C496" i="44"/>
  <c r="F496" i="44"/>
  <c r="C497" i="44"/>
  <c r="F497" i="44"/>
  <c r="C498" i="44"/>
  <c r="F498" i="44"/>
  <c r="C499" i="44"/>
  <c r="F499" i="44"/>
  <c r="C500" i="44"/>
  <c r="F500" i="44"/>
  <c r="C501" i="44"/>
  <c r="F501" i="44"/>
  <c r="C502" i="44"/>
  <c r="F502" i="44"/>
  <c r="C503" i="44"/>
  <c r="D503" i="44"/>
  <c r="E503" i="44"/>
  <c r="F503" i="44"/>
  <c r="F504" i="44"/>
  <c r="C505" i="44"/>
  <c r="F505" i="44"/>
  <c r="C506" i="44"/>
  <c r="F506" i="44"/>
  <c r="C507" i="44"/>
  <c r="F507" i="44"/>
  <c r="C508" i="44"/>
  <c r="F508" i="44"/>
  <c r="C509" i="44"/>
  <c r="F509" i="44"/>
  <c r="C510" i="44"/>
  <c r="F510" i="44"/>
  <c r="C511" i="44"/>
  <c r="F511" i="44"/>
  <c r="C512" i="44"/>
  <c r="F512" i="44"/>
  <c r="C513" i="44"/>
  <c r="F513" i="44"/>
  <c r="C514" i="44"/>
  <c r="D514" i="44"/>
  <c r="E514" i="44"/>
  <c r="F514" i="44"/>
  <c r="F515" i="44"/>
  <c r="F516" i="44"/>
  <c r="C517" i="44"/>
  <c r="F517" i="44"/>
  <c r="C518" i="44"/>
  <c r="F518" i="44"/>
  <c r="C519" i="44"/>
  <c r="F519" i="44"/>
  <c r="C520" i="44"/>
  <c r="F520" i="44"/>
  <c r="C521" i="44"/>
  <c r="F521" i="44"/>
  <c r="C522" i="44"/>
  <c r="F522" i="44"/>
  <c r="C523" i="44"/>
  <c r="F523" i="44"/>
  <c r="C524" i="44"/>
  <c r="F524" i="44"/>
  <c r="C525" i="44"/>
  <c r="D525" i="44"/>
  <c r="E525" i="44"/>
  <c r="F525" i="44"/>
  <c r="F526" i="44"/>
  <c r="F527" i="44"/>
  <c r="F528" i="44"/>
  <c r="C529" i="44"/>
  <c r="F529" i="44"/>
  <c r="C530" i="44"/>
  <c r="F530" i="44"/>
  <c r="C531" i="44"/>
  <c r="F531" i="44"/>
  <c r="C532" i="44"/>
  <c r="F532" i="44"/>
  <c r="C533" i="44"/>
  <c r="F533" i="44"/>
  <c r="C534" i="44"/>
  <c r="F534" i="44"/>
  <c r="C535" i="44"/>
  <c r="F535" i="44"/>
  <c r="C536" i="44"/>
  <c r="D536" i="44"/>
  <c r="E536" i="44"/>
  <c r="F536" i="44"/>
  <c r="C537" i="44"/>
  <c r="F537" i="44"/>
  <c r="C538" i="44"/>
  <c r="F538" i="44"/>
  <c r="C539" i="44"/>
  <c r="F539" i="44"/>
  <c r="C540" i="44"/>
  <c r="F540" i="44"/>
  <c r="C541" i="44"/>
  <c r="F541" i="44"/>
  <c r="C542" i="44"/>
  <c r="F542" i="44"/>
  <c r="C543" i="44"/>
  <c r="F543" i="44"/>
  <c r="C544" i="44"/>
  <c r="F544" i="44"/>
  <c r="C545" i="44"/>
  <c r="F545" i="44"/>
  <c r="C546" i="44"/>
  <c r="F546" i="44"/>
  <c r="C547" i="44"/>
  <c r="D547" i="44"/>
  <c r="E547" i="44"/>
  <c r="F547" i="44"/>
  <c r="F548" i="44"/>
  <c r="F549" i="44"/>
  <c r="F550" i="44"/>
  <c r="F551" i="44"/>
  <c r="F552" i="44"/>
  <c r="F553" i="44"/>
  <c r="F554" i="44"/>
  <c r="F555" i="44"/>
  <c r="F556" i="44"/>
  <c r="F557" i="44"/>
  <c r="F558" i="44"/>
  <c r="F559" i="44"/>
  <c r="F560" i="44"/>
  <c r="F561" i="44"/>
  <c r="F562" i="44"/>
  <c r="F563" i="44"/>
  <c r="F564" i="44"/>
  <c r="F565" i="44"/>
  <c r="F566" i="44"/>
  <c r="F567" i="44"/>
  <c r="F568" i="44"/>
  <c r="F569" i="44"/>
  <c r="C570" i="44"/>
  <c r="F570" i="44"/>
  <c r="C571" i="44"/>
  <c r="F571" i="44"/>
  <c r="C572" i="44"/>
  <c r="D572" i="44"/>
  <c r="E572" i="44"/>
  <c r="F572" i="44"/>
  <c r="F573" i="44"/>
  <c r="F574" i="44"/>
  <c r="F575" i="44"/>
  <c r="F576" i="44"/>
  <c r="F577" i="44"/>
  <c r="F578" i="44"/>
  <c r="C579" i="44"/>
  <c r="F579" i="44"/>
  <c r="C580" i="44"/>
  <c r="F580" i="44"/>
  <c r="C581" i="44"/>
  <c r="F581" i="44"/>
  <c r="C582" i="44"/>
  <c r="F582" i="44"/>
  <c r="C583" i="44"/>
  <c r="D583" i="44"/>
  <c r="E583" i="44"/>
  <c r="F583" i="44"/>
  <c r="C584" i="44"/>
  <c r="F584" i="44"/>
  <c r="C585" i="44"/>
  <c r="F585" i="44"/>
  <c r="C586" i="44"/>
  <c r="F586" i="44"/>
  <c r="C587" i="44"/>
  <c r="F587" i="44"/>
  <c r="C588" i="44"/>
  <c r="F588" i="44"/>
  <c r="C589" i="44"/>
  <c r="F589" i="44"/>
  <c r="C590" i="44"/>
  <c r="F590" i="44"/>
  <c r="C591" i="44"/>
  <c r="F591" i="44"/>
  <c r="C592" i="44"/>
  <c r="F592" i="44"/>
  <c r="C593" i="44"/>
  <c r="F593" i="44"/>
  <c r="C594" i="44"/>
  <c r="D594" i="44"/>
  <c r="E594" i="44"/>
  <c r="F594" i="44"/>
  <c r="C595" i="44"/>
  <c r="F595" i="44"/>
  <c r="C596" i="44"/>
  <c r="F596" i="44"/>
  <c r="C597" i="44"/>
  <c r="F597" i="44"/>
  <c r="C598" i="44"/>
  <c r="F598" i="44"/>
  <c r="C599" i="44"/>
  <c r="F599" i="44"/>
  <c r="C600" i="44"/>
  <c r="F600" i="44"/>
  <c r="C601" i="44"/>
  <c r="F601" i="44"/>
  <c r="C602" i="44"/>
  <c r="F602" i="44"/>
  <c r="C603" i="44"/>
  <c r="F603" i="44"/>
  <c r="C604" i="44"/>
  <c r="F604" i="44"/>
  <c r="C605" i="44"/>
  <c r="D605" i="44"/>
  <c r="E605" i="44"/>
  <c r="F605" i="44"/>
  <c r="C606" i="44"/>
  <c r="F606" i="44"/>
  <c r="C607" i="44"/>
  <c r="F607" i="44"/>
  <c r="C608" i="44"/>
  <c r="F608" i="44"/>
  <c r="C609" i="44"/>
  <c r="F609" i="44"/>
  <c r="C610" i="44"/>
  <c r="F610" i="44"/>
  <c r="C611" i="44"/>
  <c r="F611" i="44"/>
  <c r="C612" i="44"/>
  <c r="F612" i="44"/>
  <c r="C613" i="44"/>
  <c r="F613" i="44"/>
  <c r="C614" i="44"/>
  <c r="F614" i="44"/>
  <c r="C615" i="44"/>
  <c r="F615" i="44"/>
  <c r="C616" i="44"/>
  <c r="D616" i="44"/>
  <c r="E616" i="44"/>
  <c r="F616" i="44"/>
  <c r="C617" i="44"/>
  <c r="F617" i="44"/>
  <c r="C618" i="44"/>
  <c r="F618" i="44"/>
  <c r="C619" i="44"/>
  <c r="F619" i="44"/>
  <c r="C620" i="44"/>
  <c r="F620" i="44"/>
  <c r="C621" i="44"/>
  <c r="F621" i="44"/>
  <c r="C622" i="44"/>
  <c r="F622" i="44"/>
  <c r="C623" i="44"/>
  <c r="F623" i="44"/>
  <c r="C624" i="44"/>
  <c r="F624" i="44"/>
  <c r="C625" i="44"/>
  <c r="F625" i="44"/>
  <c r="C626" i="44"/>
  <c r="F626" i="44"/>
  <c r="C627" i="44"/>
  <c r="D627" i="44"/>
  <c r="E627" i="44"/>
  <c r="F627" i="44"/>
  <c r="C628" i="44"/>
  <c r="F628" i="44"/>
  <c r="C629" i="44"/>
  <c r="F629" i="44"/>
  <c r="F630" i="44"/>
  <c r="F631" i="44"/>
  <c r="F632" i="44"/>
  <c r="F633" i="44"/>
  <c r="F634" i="44"/>
  <c r="F635" i="44"/>
  <c r="F636" i="44"/>
  <c r="F637" i="44"/>
  <c r="F638" i="44"/>
  <c r="C639" i="44"/>
  <c r="D639" i="44"/>
  <c r="E639" i="44"/>
  <c r="F639" i="44"/>
  <c r="F640" i="44"/>
  <c r="C641" i="44"/>
  <c r="F641" i="44"/>
  <c r="C642" i="44"/>
  <c r="F642" i="44"/>
  <c r="C643" i="44"/>
  <c r="F643" i="44"/>
  <c r="C644" i="44"/>
  <c r="F644" i="44"/>
  <c r="C645" i="44"/>
  <c r="F645" i="44"/>
  <c r="C646" i="44"/>
  <c r="F646" i="44"/>
  <c r="C647" i="44"/>
  <c r="F647" i="44"/>
  <c r="C648" i="44"/>
  <c r="F648" i="44"/>
  <c r="C649" i="44"/>
  <c r="F649" i="44"/>
  <c r="C650" i="44"/>
  <c r="D650" i="44"/>
  <c r="E650" i="44"/>
  <c r="F650" i="44"/>
  <c r="C651" i="44"/>
  <c r="F651" i="44"/>
  <c r="C652" i="44"/>
  <c r="F652" i="44"/>
  <c r="C653" i="44"/>
  <c r="F653" i="44"/>
  <c r="C654" i="44"/>
  <c r="F654" i="44"/>
  <c r="C655" i="44"/>
  <c r="F655" i="44"/>
  <c r="C656" i="44"/>
  <c r="F656" i="44"/>
  <c r="C657" i="44"/>
  <c r="F657" i="44"/>
  <c r="C658" i="44"/>
  <c r="F658" i="44"/>
  <c r="C659" i="44"/>
  <c r="F659" i="44"/>
  <c r="C660" i="44"/>
  <c r="F660" i="44"/>
  <c r="C661" i="44"/>
  <c r="D661" i="44"/>
  <c r="E661" i="44"/>
  <c r="F661" i="44"/>
  <c r="C662" i="44"/>
  <c r="F662" i="44"/>
  <c r="C663" i="44"/>
  <c r="F663" i="44"/>
  <c r="C664" i="44"/>
  <c r="F664" i="44"/>
  <c r="C665" i="44"/>
  <c r="F665" i="44"/>
  <c r="C666" i="44"/>
  <c r="F666" i="44"/>
  <c r="C667" i="44"/>
  <c r="F667" i="44"/>
  <c r="C668" i="44"/>
  <c r="F668" i="44"/>
  <c r="C669" i="44"/>
  <c r="F669" i="44"/>
  <c r="C670" i="44"/>
  <c r="F670" i="44"/>
  <c r="C671" i="44"/>
  <c r="F671" i="44"/>
  <c r="C672" i="44"/>
  <c r="D672" i="44"/>
  <c r="E672" i="44"/>
  <c r="F672" i="44"/>
  <c r="F673" i="44"/>
  <c r="C674" i="44"/>
  <c r="F674" i="44"/>
  <c r="C675" i="44"/>
  <c r="F675" i="44"/>
  <c r="C676" i="44"/>
  <c r="F676" i="44"/>
  <c r="C677" i="44"/>
  <c r="F677" i="44"/>
  <c r="C678" i="44"/>
  <c r="F678" i="44"/>
  <c r="C679" i="44"/>
  <c r="F679" i="44"/>
  <c r="C680" i="44"/>
  <c r="F680" i="44"/>
  <c r="C681" i="44"/>
  <c r="F681" i="44"/>
  <c r="C682" i="44"/>
  <c r="F682" i="44"/>
  <c r="C683" i="44"/>
  <c r="D683" i="44"/>
  <c r="E683" i="44"/>
  <c r="F683" i="44"/>
  <c r="F684" i="44"/>
  <c r="F685" i="44"/>
  <c r="F686" i="44"/>
  <c r="F687" i="44"/>
  <c r="F688" i="44"/>
  <c r="F689" i="44"/>
  <c r="F690" i="44"/>
  <c r="C691" i="44"/>
  <c r="F691" i="44"/>
  <c r="C692" i="44"/>
  <c r="F692" i="44"/>
  <c r="C693" i="44"/>
  <c r="F693" i="44"/>
  <c r="C694" i="44"/>
  <c r="D694" i="44"/>
  <c r="E694" i="44"/>
  <c r="F694" i="44"/>
  <c r="F695" i="44"/>
  <c r="F696" i="44"/>
  <c r="F697" i="44"/>
  <c r="C698" i="44"/>
  <c r="F698" i="44"/>
  <c r="C699" i="44"/>
  <c r="F699" i="44"/>
  <c r="C700" i="44"/>
  <c r="F700" i="44"/>
  <c r="C701" i="44"/>
  <c r="F701" i="44"/>
  <c r="C702" i="44"/>
  <c r="F702" i="44"/>
  <c r="C703" i="44"/>
  <c r="F703" i="44"/>
  <c r="C704" i="44"/>
  <c r="F704" i="44"/>
  <c r="C705" i="44"/>
  <c r="D705" i="44"/>
  <c r="E705" i="44"/>
  <c r="F705" i="44"/>
  <c r="F706" i="44"/>
  <c r="F707" i="44"/>
  <c r="F708" i="44"/>
  <c r="C709" i="44"/>
  <c r="F709" i="44"/>
  <c r="C710" i="44"/>
  <c r="F710" i="44"/>
  <c r="C711" i="44"/>
  <c r="F711" i="44"/>
  <c r="C712" i="44"/>
  <c r="F712" i="44"/>
  <c r="C713" i="44"/>
  <c r="F713" i="44"/>
  <c r="C714" i="44"/>
  <c r="F714" i="44"/>
  <c r="C715" i="44"/>
  <c r="F715" i="44"/>
  <c r="C716" i="44"/>
  <c r="D716" i="44"/>
  <c r="E716" i="44"/>
  <c r="F716" i="44"/>
  <c r="F717" i="44"/>
  <c r="F718" i="44"/>
  <c r="F719" i="44"/>
  <c r="F720" i="44"/>
  <c r="F721" i="44"/>
  <c r="F722" i="44"/>
  <c r="C723" i="44"/>
  <c r="F723" i="44"/>
  <c r="C724" i="44"/>
  <c r="F724" i="44"/>
  <c r="C725" i="44"/>
  <c r="F725" i="44"/>
  <c r="C726" i="44"/>
  <c r="F726" i="44"/>
  <c r="C727" i="44"/>
  <c r="D727" i="44"/>
  <c r="E727" i="44"/>
  <c r="F727" i="44"/>
  <c r="F728" i="44"/>
  <c r="F729" i="44"/>
  <c r="C730" i="44"/>
  <c r="F730" i="44"/>
  <c r="C731" i="44"/>
  <c r="F731" i="44"/>
  <c r="C732" i="44"/>
  <c r="F732" i="44"/>
  <c r="C733" i="44"/>
  <c r="F733" i="44"/>
  <c r="C734" i="44"/>
  <c r="F734" i="44"/>
  <c r="C735" i="44"/>
  <c r="F735" i="44"/>
  <c r="C736" i="44"/>
  <c r="F736" i="44"/>
  <c r="C737" i="44"/>
  <c r="F737" i="44"/>
  <c r="C738" i="44"/>
  <c r="D738" i="44"/>
  <c r="E738" i="44"/>
  <c r="F738" i="44"/>
  <c r="F739" i="44"/>
  <c r="F740" i="44"/>
  <c r="F741" i="44"/>
  <c r="F742" i="44"/>
  <c r="F743" i="44"/>
  <c r="F744" i="44"/>
  <c r="F745" i="44"/>
  <c r="C746" i="44"/>
  <c r="F746" i="44"/>
  <c r="C747" i="44"/>
  <c r="F747" i="44"/>
  <c r="C748" i="44"/>
  <c r="F748" i="44"/>
  <c r="C749" i="44"/>
  <c r="D749" i="44"/>
  <c r="E749" i="44"/>
  <c r="F749" i="44"/>
  <c r="F750" i="44"/>
  <c r="C751" i="44"/>
  <c r="F751" i="44"/>
  <c r="C752" i="44"/>
  <c r="F752" i="44"/>
  <c r="C753" i="44"/>
  <c r="F753" i="44"/>
  <c r="C754" i="44"/>
  <c r="F754" i="44"/>
  <c r="C755" i="44"/>
  <c r="F755" i="44"/>
  <c r="C756" i="44"/>
  <c r="F756" i="44"/>
  <c r="C757" i="44"/>
  <c r="F757" i="44"/>
  <c r="C758" i="44"/>
  <c r="F758" i="44"/>
  <c r="C759" i="44"/>
  <c r="F759" i="44"/>
  <c r="C760" i="44"/>
  <c r="D760" i="44"/>
  <c r="E760" i="44"/>
  <c r="F760" i="44"/>
  <c r="F761" i="44"/>
  <c r="F762" i="44"/>
  <c r="F763" i="44"/>
  <c r="F764" i="44"/>
  <c r="F765" i="44"/>
  <c r="F766" i="44"/>
  <c r="F767" i="44"/>
  <c r="F768" i="44"/>
  <c r="F769" i="44"/>
  <c r="F770" i="44"/>
  <c r="F771" i="44"/>
  <c r="F772" i="44"/>
  <c r="F773" i="44"/>
  <c r="F774" i="44"/>
  <c r="F775" i="44"/>
  <c r="F776" i="44"/>
  <c r="F777" i="44"/>
  <c r="F778" i="44"/>
  <c r="F779" i="44"/>
  <c r="F780" i="44"/>
  <c r="F781" i="44"/>
  <c r="F782" i="44"/>
  <c r="F783" i="44"/>
  <c r="F784" i="44"/>
  <c r="F785" i="44"/>
  <c r="C786" i="44"/>
  <c r="D786" i="44"/>
  <c r="E786" i="44"/>
  <c r="F786" i="44"/>
  <c r="C787" i="44"/>
  <c r="D787" i="44"/>
  <c r="E787" i="44"/>
  <c r="E792" i="44"/>
  <c r="C797" i="44"/>
  <c r="C798" i="44"/>
  <c r="D797" i="44"/>
  <c r="D798" i="44"/>
  <c r="E797" i="44"/>
  <c r="E798" i="44"/>
  <c r="C10" i="31"/>
  <c r="E10" i="31"/>
  <c r="D22" i="31"/>
  <c r="F23" i="31"/>
  <c r="F11" i="31"/>
  <c r="G23" i="31"/>
  <c r="G11" i="31"/>
  <c r="D43" i="31"/>
  <c r="N43" i="31"/>
  <c r="P43" i="31"/>
  <c r="C10" i="24"/>
  <c r="G10" i="24"/>
  <c r="C11" i="24"/>
  <c r="G11" i="24"/>
  <c r="C12" i="24"/>
  <c r="G12" i="24"/>
  <c r="C13" i="24"/>
  <c r="G13" i="24"/>
  <c r="C14" i="24"/>
  <c r="G14" i="24"/>
  <c r="C15" i="24"/>
  <c r="G15" i="24"/>
  <c r="C16" i="24"/>
  <c r="G16" i="24"/>
  <c r="C17" i="24"/>
  <c r="G17" i="24"/>
  <c r="D18" i="24"/>
  <c r="O1057" i="40"/>
  <c r="E18" i="24"/>
  <c r="O1490" i="40"/>
  <c r="C21" i="24"/>
  <c r="G21" i="24"/>
  <c r="F21" i="24"/>
  <c r="F23" i="24"/>
  <c r="C24" i="24"/>
  <c r="G24" i="24"/>
  <c r="C25" i="24"/>
  <c r="F25" i="24"/>
  <c r="G25" i="24"/>
  <c r="C26" i="24"/>
  <c r="G26" i="24"/>
  <c r="C27" i="24"/>
  <c r="C28" i="24"/>
  <c r="D29" i="24"/>
  <c r="O1058" i="40"/>
  <c r="E29" i="24"/>
  <c r="O1491" i="40"/>
  <c r="C32" i="24"/>
  <c r="F32" i="24"/>
  <c r="C33" i="24"/>
  <c r="G33" i="24"/>
  <c r="C34" i="24"/>
  <c r="G34" i="24"/>
  <c r="C35" i="24"/>
  <c r="G35" i="24"/>
  <c r="C36" i="24"/>
  <c r="C37" i="24"/>
  <c r="G37" i="24"/>
  <c r="C38" i="24"/>
  <c r="G38" i="24"/>
  <c r="C39" i="24"/>
  <c r="D40" i="24"/>
  <c r="O1059" i="40"/>
  <c r="E40" i="24"/>
  <c r="O1492" i="40"/>
  <c r="C44" i="24"/>
  <c r="C45" i="24"/>
  <c r="C47" i="24"/>
  <c r="G47" i="24"/>
  <c r="C48" i="24"/>
  <c r="G48" i="24"/>
  <c r="C49" i="24"/>
  <c r="F49" i="24"/>
  <c r="C50" i="24"/>
  <c r="D51" i="24"/>
  <c r="E51" i="24"/>
  <c r="O1493" i="40"/>
  <c r="F53" i="24"/>
  <c r="C57" i="24"/>
  <c r="G57" i="24"/>
  <c r="C61" i="24"/>
  <c r="G61" i="24"/>
  <c r="D62" i="24"/>
  <c r="E62" i="24"/>
  <c r="O1494" i="40"/>
  <c r="C66" i="24"/>
  <c r="C67" i="24"/>
  <c r="F67" i="24"/>
  <c r="C68" i="24"/>
  <c r="G68" i="24"/>
  <c r="C69" i="24"/>
  <c r="G69" i="24"/>
  <c r="C70" i="24"/>
  <c r="C71" i="24"/>
  <c r="G71" i="24"/>
  <c r="C72" i="24"/>
  <c r="E73" i="24"/>
  <c r="O1495" i="40"/>
  <c r="C80" i="24"/>
  <c r="C81" i="24"/>
  <c r="G81" i="24"/>
  <c r="C82" i="24"/>
  <c r="G82" i="24"/>
  <c r="C83" i="24"/>
  <c r="G83" i="24"/>
  <c r="D84" i="24"/>
  <c r="O1063" i="40"/>
  <c r="E84" i="24"/>
  <c r="G84" i="24"/>
  <c r="C94" i="24"/>
  <c r="G94" i="24"/>
  <c r="D95" i="24"/>
  <c r="O1064" i="40"/>
  <c r="E95" i="24"/>
  <c r="O1497" i="40"/>
  <c r="P1497" i="40"/>
  <c r="C97" i="24"/>
  <c r="C98" i="24"/>
  <c r="G98" i="24"/>
  <c r="C99" i="24"/>
  <c r="F99" i="24"/>
  <c r="G99" i="24"/>
  <c r="C100" i="24"/>
  <c r="F100" i="24"/>
  <c r="C101" i="24"/>
  <c r="G101" i="24"/>
  <c r="C102" i="24"/>
  <c r="G102" i="24"/>
  <c r="C103" i="24"/>
  <c r="G103" i="24"/>
  <c r="C104" i="24"/>
  <c r="G104" i="24"/>
  <c r="C105" i="24"/>
  <c r="G105" i="24"/>
  <c r="D106" i="24"/>
  <c r="E106" i="24"/>
  <c r="O1498" i="40"/>
  <c r="F111" i="24"/>
  <c r="C112" i="24"/>
  <c r="G112" i="24"/>
  <c r="C113" i="24"/>
  <c r="C114" i="24"/>
  <c r="G114" i="24"/>
  <c r="C115" i="24"/>
  <c r="G115" i="24"/>
  <c r="C116" i="24"/>
  <c r="D117" i="24"/>
  <c r="O1066" i="40"/>
  <c r="E117" i="24"/>
  <c r="O1499" i="40"/>
  <c r="F118" i="24"/>
  <c r="C131" i="24"/>
  <c r="G131" i="24"/>
  <c r="C132" i="24"/>
  <c r="G132" i="24"/>
  <c r="D133" i="24"/>
  <c r="E133" i="24"/>
  <c r="O1500" i="40"/>
  <c r="F134" i="24"/>
  <c r="C140" i="24"/>
  <c r="C141" i="24"/>
  <c r="F141" i="24"/>
  <c r="C142" i="24"/>
  <c r="G142" i="24"/>
  <c r="C143" i="24"/>
  <c r="G143" i="24"/>
  <c r="C144" i="24"/>
  <c r="G144" i="24"/>
  <c r="C145" i="24"/>
  <c r="C146" i="24"/>
  <c r="G146" i="24"/>
  <c r="C154" i="24"/>
  <c r="G154" i="24"/>
  <c r="C155" i="24"/>
  <c r="G155" i="24"/>
  <c r="C156" i="24"/>
  <c r="C157" i="24"/>
  <c r="F157" i="24"/>
  <c r="C158" i="24"/>
  <c r="G158" i="24"/>
  <c r="D159" i="24"/>
  <c r="O1068" i="40"/>
  <c r="E159" i="24"/>
  <c r="C173" i="24"/>
  <c r="G173" i="24"/>
  <c r="C174" i="24"/>
  <c r="G174" i="24"/>
  <c r="C175" i="24"/>
  <c r="C176" i="24"/>
  <c r="G176" i="24"/>
  <c r="C177" i="24"/>
  <c r="G177" i="24"/>
  <c r="F177" i="24"/>
  <c r="D219" i="24"/>
  <c r="O1069" i="40"/>
  <c r="C225" i="24"/>
  <c r="C226" i="24"/>
  <c r="G226" i="24"/>
  <c r="C227" i="24"/>
  <c r="C228" i="24"/>
  <c r="G228" i="24"/>
  <c r="C229" i="24"/>
  <c r="D230" i="24"/>
  <c r="O1070" i="40"/>
  <c r="E230" i="24"/>
  <c r="O1503" i="40"/>
  <c r="C233" i="24"/>
  <c r="G233" i="24"/>
  <c r="C238" i="24"/>
  <c r="C239" i="24"/>
  <c r="G239" i="24"/>
  <c r="C240" i="24"/>
  <c r="G240" i="24"/>
  <c r="D241" i="24"/>
  <c r="O1071" i="40"/>
  <c r="P1071" i="40"/>
  <c r="E241" i="24"/>
  <c r="O1504" i="40"/>
  <c r="F248" i="24"/>
  <c r="C251" i="24"/>
  <c r="D252" i="24"/>
  <c r="O1072" i="40"/>
  <c r="E252" i="24"/>
  <c r="O1505" i="40"/>
  <c r="F254" i="24"/>
  <c r="C267" i="24"/>
  <c r="C268" i="24"/>
  <c r="G268" i="24"/>
  <c r="C288" i="24"/>
  <c r="G288" i="24"/>
  <c r="D289" i="24"/>
  <c r="O1073" i="40"/>
  <c r="E289" i="24"/>
  <c r="O1506" i="40"/>
  <c r="F290" i="24"/>
  <c r="C299" i="24"/>
  <c r="G299" i="24"/>
  <c r="D300" i="24"/>
  <c r="O1074" i="40"/>
  <c r="E300" i="24"/>
  <c r="O1507" i="40"/>
  <c r="C310" i="24"/>
  <c r="D311" i="24"/>
  <c r="O1075" i="40"/>
  <c r="E311" i="24"/>
  <c r="O1508" i="40"/>
  <c r="F312" i="24"/>
  <c r="C321" i="24"/>
  <c r="G321" i="24"/>
  <c r="C322" i="24"/>
  <c r="G322" i="24"/>
  <c r="C323" i="24"/>
  <c r="G323" i="24"/>
  <c r="C329" i="24"/>
  <c r="G329" i="24"/>
  <c r="C330" i="24"/>
  <c r="G330" i="24"/>
  <c r="D331" i="24"/>
  <c r="E331" i="24"/>
  <c r="O1509" i="40"/>
  <c r="C334" i="24"/>
  <c r="C335" i="24"/>
  <c r="G335" i="24"/>
  <c r="C336" i="24"/>
  <c r="G336" i="24"/>
  <c r="C337" i="24"/>
  <c r="G337" i="24"/>
  <c r="C338" i="24"/>
  <c r="G338" i="24"/>
  <c r="C339" i="24"/>
  <c r="G339" i="24"/>
  <c r="C340" i="24"/>
  <c r="G340" i="24"/>
  <c r="C341" i="24"/>
  <c r="G341" i="24"/>
  <c r="D342" i="24"/>
  <c r="O1077" i="40"/>
  <c r="P1077" i="40"/>
  <c r="E342" i="24"/>
  <c r="O1510" i="40"/>
  <c r="C345" i="24"/>
  <c r="C346" i="24"/>
  <c r="G346" i="24"/>
  <c r="C347" i="24"/>
  <c r="G347" i="24"/>
  <c r="C348" i="24"/>
  <c r="F348" i="24"/>
  <c r="G348" i="24"/>
  <c r="C349" i="24"/>
  <c r="G349" i="24"/>
  <c r="C350" i="24"/>
  <c r="G350" i="24"/>
  <c r="C351" i="24"/>
  <c r="G351" i="24"/>
  <c r="C352" i="24"/>
  <c r="G352" i="24"/>
  <c r="D353" i="24"/>
  <c r="O1078" i="40"/>
  <c r="P1078" i="40"/>
  <c r="E353" i="24"/>
  <c r="C357" i="24"/>
  <c r="G357" i="24"/>
  <c r="C359" i="24"/>
  <c r="F359" i="24"/>
  <c r="G359" i="24"/>
  <c r="C360" i="24"/>
  <c r="G360" i="24"/>
  <c r="C361" i="24"/>
  <c r="C362" i="24"/>
  <c r="G362" i="24"/>
  <c r="C363" i="24"/>
  <c r="D364" i="24"/>
  <c r="O1079" i="40"/>
  <c r="E364" i="24"/>
  <c r="E365" i="24"/>
  <c r="F366" i="24"/>
  <c r="C368" i="24"/>
  <c r="G368" i="24"/>
  <c r="C369" i="24"/>
  <c r="C370" i="24"/>
  <c r="G370" i="24"/>
  <c r="C372" i="24"/>
  <c r="C373" i="24"/>
  <c r="G373" i="24"/>
  <c r="C374" i="24"/>
  <c r="D375" i="24"/>
  <c r="O1080" i="40"/>
  <c r="P1080" i="40"/>
  <c r="C382" i="24"/>
  <c r="G382" i="24"/>
  <c r="C383" i="24"/>
  <c r="G383" i="24"/>
  <c r="C384" i="24"/>
  <c r="C386" i="24"/>
  <c r="G386" i="24"/>
  <c r="C385" i="24"/>
  <c r="G385" i="24"/>
  <c r="D386" i="24"/>
  <c r="O1081" i="40"/>
  <c r="E386" i="24"/>
  <c r="F389" i="24"/>
  <c r="C390" i="24"/>
  <c r="C391" i="24"/>
  <c r="G391" i="24"/>
  <c r="C392" i="24"/>
  <c r="G392" i="24"/>
  <c r="C393" i="24"/>
  <c r="C394" i="24"/>
  <c r="C395" i="24"/>
  <c r="G395" i="24"/>
  <c r="C396" i="24"/>
  <c r="F396" i="24"/>
  <c r="G396" i="24"/>
  <c r="D397" i="24"/>
  <c r="O1082" i="40"/>
  <c r="E397" i="24"/>
  <c r="C399" i="24"/>
  <c r="D399" i="24"/>
  <c r="C401" i="24"/>
  <c r="G401" i="24"/>
  <c r="C402" i="24"/>
  <c r="C417" i="24"/>
  <c r="E418" i="24"/>
  <c r="F419" i="24"/>
  <c r="F420" i="24"/>
  <c r="C427" i="24"/>
  <c r="C428" i="24"/>
  <c r="G428" i="24"/>
  <c r="C429" i="24"/>
  <c r="G429" i="24"/>
  <c r="C430" i="24"/>
  <c r="C440" i="24"/>
  <c r="G440" i="24"/>
  <c r="C441" i="24"/>
  <c r="F441" i="24"/>
  <c r="D442" i="24"/>
  <c r="O1084" i="40"/>
  <c r="E442" i="24"/>
  <c r="C450" i="24"/>
  <c r="G450" i="24"/>
  <c r="C451" i="24"/>
  <c r="G451" i="24"/>
  <c r="C477" i="24"/>
  <c r="E477" i="24"/>
  <c r="E488" i="24"/>
  <c r="O1519" i="40"/>
  <c r="C478" i="24"/>
  <c r="G478" i="24"/>
  <c r="C479" i="24"/>
  <c r="C486" i="24"/>
  <c r="G486" i="24"/>
  <c r="C487" i="24"/>
  <c r="D488" i="24"/>
  <c r="C492" i="24"/>
  <c r="F492" i="24"/>
  <c r="C495" i="24"/>
  <c r="G495" i="24"/>
  <c r="C496" i="24"/>
  <c r="F496" i="24"/>
  <c r="C497" i="24"/>
  <c r="C498" i="24"/>
  <c r="G498" i="24"/>
  <c r="D499" i="24"/>
  <c r="O1087" i="40"/>
  <c r="P1087" i="40"/>
  <c r="E499" i="24"/>
  <c r="C509" i="24"/>
  <c r="G509" i="24"/>
  <c r="D523" i="24"/>
  <c r="O1088" i="40"/>
  <c r="E523" i="24"/>
  <c r="O1521" i="40"/>
  <c r="C562" i="24"/>
  <c r="D563" i="24"/>
  <c r="O1089" i="40"/>
  <c r="F567" i="24"/>
  <c r="C569" i="24"/>
  <c r="C570" i="24"/>
  <c r="G570" i="24"/>
  <c r="C571" i="24"/>
  <c r="G571" i="24"/>
  <c r="C572" i="24"/>
  <c r="G572" i="24"/>
  <c r="C573" i="24"/>
  <c r="G573" i="24"/>
  <c r="D574" i="24"/>
  <c r="O1090" i="40"/>
  <c r="E574" i="24"/>
  <c r="C578" i="24"/>
  <c r="G578" i="24"/>
  <c r="C579" i="24"/>
  <c r="G579" i="24"/>
  <c r="C580" i="24"/>
  <c r="G580" i="24"/>
  <c r="C581" i="24"/>
  <c r="F581" i="24"/>
  <c r="G581" i="24"/>
  <c r="C582" i="24"/>
  <c r="G582" i="24"/>
  <c r="C583" i="24"/>
  <c r="G583" i="24"/>
  <c r="C584" i="24"/>
  <c r="D585" i="24"/>
  <c r="O1091" i="40"/>
  <c r="E585" i="24"/>
  <c r="O1524" i="40"/>
  <c r="C588" i="24"/>
  <c r="G588" i="24"/>
  <c r="F600" i="24"/>
  <c r="D601" i="24"/>
  <c r="O1092" i="40"/>
  <c r="E601" i="24"/>
  <c r="O1525" i="40"/>
  <c r="F603" i="24"/>
  <c r="C609" i="24"/>
  <c r="C632" i="24"/>
  <c r="G632" i="24"/>
  <c r="C633" i="24"/>
  <c r="G633" i="24"/>
  <c r="C634" i="24"/>
  <c r="C635" i="24"/>
  <c r="G635" i="24"/>
  <c r="C636" i="24"/>
  <c r="G636" i="24"/>
  <c r="C637" i="24"/>
  <c r="E638" i="24"/>
  <c r="C662" i="24"/>
  <c r="G662" i="24"/>
  <c r="D663" i="24"/>
  <c r="E663" i="24"/>
  <c r="O1527" i="40"/>
  <c r="C674" i="24"/>
  <c r="G674" i="24"/>
  <c r="C675" i="24"/>
  <c r="G675" i="24"/>
  <c r="C676" i="24"/>
  <c r="G676" i="24"/>
  <c r="D682" i="24"/>
  <c r="O1095" i="40"/>
  <c r="E682" i="24"/>
  <c r="F684" i="24"/>
  <c r="C695" i="24"/>
  <c r="C696" i="24"/>
  <c r="G696" i="24"/>
  <c r="C697" i="24"/>
  <c r="G697" i="24"/>
  <c r="C730" i="24"/>
  <c r="G730" i="24"/>
  <c r="D731" i="24"/>
  <c r="O1096" i="40"/>
  <c r="E731" i="24"/>
  <c r="O1529" i="40"/>
  <c r="C736" i="24"/>
  <c r="G736" i="24"/>
  <c r="C737" i="24"/>
  <c r="G737" i="24"/>
  <c r="C738" i="24"/>
  <c r="F738" i="24"/>
  <c r="C739" i="24"/>
  <c r="G739" i="24"/>
  <c r="C740" i="24"/>
  <c r="G740" i="24"/>
  <c r="C741" i="24"/>
  <c r="G741" i="24"/>
  <c r="D742" i="24"/>
  <c r="O1097" i="40"/>
  <c r="E742" i="24"/>
  <c r="O1530" i="40"/>
  <c r="C746" i="24"/>
  <c r="G746" i="24"/>
  <c r="C747" i="24"/>
  <c r="G747" i="24"/>
  <c r="C748" i="24"/>
  <c r="G748" i="24"/>
  <c r="C749" i="24"/>
  <c r="G749" i="24"/>
  <c r="C750" i="24"/>
  <c r="G750" i="24"/>
  <c r="C751" i="24"/>
  <c r="F751" i="24"/>
  <c r="G751" i="24"/>
  <c r="C752" i="24"/>
  <c r="F752" i="24"/>
  <c r="D753" i="24"/>
  <c r="E753" i="24"/>
  <c r="O1531" i="40"/>
  <c r="C757" i="24"/>
  <c r="C758" i="24"/>
  <c r="G758" i="24"/>
  <c r="C759" i="24"/>
  <c r="C760" i="24"/>
  <c r="G760" i="24"/>
  <c r="C761" i="24"/>
  <c r="G761" i="24"/>
  <c r="C762" i="24"/>
  <c r="G762" i="24"/>
  <c r="C763" i="24"/>
  <c r="G763" i="24"/>
  <c r="D764" i="24"/>
  <c r="E764" i="24"/>
  <c r="O1532" i="40"/>
  <c r="F766" i="24"/>
  <c r="F767" i="24"/>
  <c r="C768" i="24"/>
  <c r="F768" i="24"/>
  <c r="C769" i="24"/>
  <c r="G769" i="24"/>
  <c r="C770" i="24"/>
  <c r="G770" i="24"/>
  <c r="C771" i="24"/>
  <c r="G771" i="24"/>
  <c r="C772" i="24"/>
  <c r="G772" i="24"/>
  <c r="C773" i="24"/>
  <c r="G773" i="24"/>
  <c r="C774" i="24"/>
  <c r="G774" i="24"/>
  <c r="D775" i="24"/>
  <c r="E775" i="24"/>
  <c r="O1533" i="40"/>
  <c r="C779" i="24"/>
  <c r="C780" i="24"/>
  <c r="C781" i="24"/>
  <c r="F781" i="24"/>
  <c r="G781" i="24"/>
  <c r="C782" i="24"/>
  <c r="G782" i="24"/>
  <c r="C783" i="24"/>
  <c r="F783" i="24"/>
  <c r="G783" i="24"/>
  <c r="C784" i="24"/>
  <c r="G784" i="24"/>
  <c r="C785" i="24"/>
  <c r="G785" i="24"/>
  <c r="D786" i="24"/>
  <c r="O1101" i="40"/>
  <c r="E786" i="24"/>
  <c r="O1534" i="40"/>
  <c r="C793" i="24"/>
  <c r="C794" i="24"/>
  <c r="G794" i="24"/>
  <c r="C805" i="24"/>
  <c r="F805" i="24"/>
  <c r="C806" i="24"/>
  <c r="G806" i="24"/>
  <c r="D807" i="24"/>
  <c r="O1102" i="40"/>
  <c r="E807" i="24"/>
  <c r="O1535" i="40"/>
  <c r="C833" i="24"/>
  <c r="C834" i="24"/>
  <c r="D835" i="24"/>
  <c r="E835" i="24"/>
  <c r="O1536" i="40"/>
  <c r="F839" i="24"/>
  <c r="C843" i="24"/>
  <c r="C844" i="24"/>
  <c r="G844" i="24"/>
  <c r="C845" i="24"/>
  <c r="E846" i="24"/>
  <c r="O1537" i="40"/>
  <c r="D849" i="24"/>
  <c r="C849" i="24"/>
  <c r="G849" i="24"/>
  <c r="C870" i="24"/>
  <c r="C941" i="24"/>
  <c r="F943" i="24"/>
  <c r="C947" i="24"/>
  <c r="G947" i="24"/>
  <c r="C948" i="24"/>
  <c r="C972" i="24"/>
  <c r="G972" i="24"/>
  <c r="C967" i="24"/>
  <c r="G967" i="24"/>
  <c r="C968" i="24"/>
  <c r="C969" i="24"/>
  <c r="C970" i="24"/>
  <c r="G970" i="24"/>
  <c r="C971" i="24"/>
  <c r="G971" i="24"/>
  <c r="E972" i="24"/>
  <c r="O1539" i="40"/>
  <c r="C976" i="24"/>
  <c r="C977" i="24"/>
  <c r="F977" i="24"/>
  <c r="C978" i="24"/>
  <c r="G978" i="24"/>
  <c r="C979" i="24"/>
  <c r="G979" i="24"/>
  <c r="C980" i="24"/>
  <c r="G980" i="24"/>
  <c r="C981" i="24"/>
  <c r="F981" i="24"/>
  <c r="D982" i="24"/>
  <c r="E982" i="24"/>
  <c r="O1540" i="40"/>
  <c r="F984" i="24"/>
  <c r="C986" i="24"/>
  <c r="C987" i="24"/>
  <c r="C988" i="24"/>
  <c r="G988" i="24"/>
  <c r="C989" i="24"/>
  <c r="C990" i="24"/>
  <c r="G990" i="24"/>
  <c r="C991" i="24"/>
  <c r="F991" i="24"/>
  <c r="C992" i="24"/>
  <c r="G992" i="24"/>
  <c r="D993" i="24"/>
  <c r="E993" i="24"/>
  <c r="O1541" i="40"/>
  <c r="C995" i="24"/>
  <c r="G995" i="24"/>
  <c r="C996" i="24"/>
  <c r="G996" i="24"/>
  <c r="C997" i="24"/>
  <c r="C1004" i="24"/>
  <c r="C998" i="24"/>
  <c r="G998" i="24"/>
  <c r="C999" i="24"/>
  <c r="G999" i="24"/>
  <c r="C1000" i="24"/>
  <c r="C1001" i="24"/>
  <c r="F1001" i="24"/>
  <c r="C1002" i="24"/>
  <c r="G1002" i="24"/>
  <c r="C1003" i="24"/>
  <c r="G1003" i="24"/>
  <c r="D1004" i="24"/>
  <c r="O1109" i="40"/>
  <c r="E1004" i="24"/>
  <c r="O1542" i="40"/>
  <c r="C1008" i="24"/>
  <c r="C1009" i="24"/>
  <c r="G1009" i="24"/>
  <c r="C1010" i="24"/>
  <c r="G1010" i="24"/>
  <c r="C1011" i="24"/>
  <c r="C1012" i="24"/>
  <c r="G1012" i="24"/>
  <c r="F1012" i="24"/>
  <c r="C1013" i="24"/>
  <c r="G1013" i="24"/>
  <c r="C1014" i="24"/>
  <c r="F1014" i="24"/>
  <c r="G1014" i="24"/>
  <c r="D1015" i="24"/>
  <c r="O1110" i="40"/>
  <c r="E1015" i="24"/>
  <c r="O1543" i="40"/>
  <c r="C1024" i="24"/>
  <c r="G1024" i="24"/>
  <c r="C1054" i="24"/>
  <c r="C1055" i="24"/>
  <c r="D1055" i="24"/>
  <c r="E1055" i="24"/>
  <c r="O1544" i="40"/>
  <c r="C1058" i="24"/>
  <c r="C1060" i="24"/>
  <c r="C1066" i="24"/>
  <c r="G1060" i="24"/>
  <c r="C1061" i="24"/>
  <c r="C1062" i="24"/>
  <c r="G1062" i="24"/>
  <c r="C1063" i="24"/>
  <c r="F1063" i="24"/>
  <c r="C1064" i="24"/>
  <c r="C1065" i="24"/>
  <c r="G1065" i="24"/>
  <c r="F1065" i="24"/>
  <c r="D1066" i="24"/>
  <c r="O1112" i="40"/>
  <c r="E1066" i="24"/>
  <c r="O1545" i="40"/>
  <c r="C1069" i="24"/>
  <c r="C1070" i="24"/>
  <c r="F1070" i="24"/>
  <c r="C1071" i="24"/>
  <c r="F1071" i="24"/>
  <c r="C1072" i="24"/>
  <c r="G1072" i="24"/>
  <c r="C1073" i="24"/>
  <c r="F1073" i="24"/>
  <c r="C1074" i="24"/>
  <c r="G1074" i="24"/>
  <c r="F1074" i="24"/>
  <c r="C1075" i="24"/>
  <c r="C1076" i="24"/>
  <c r="G1076" i="24"/>
  <c r="D1077" i="24"/>
  <c r="O1113" i="40"/>
  <c r="E1077" i="24"/>
  <c r="O1546" i="40"/>
  <c r="P1546" i="40"/>
  <c r="C1079" i="24"/>
  <c r="G1079" i="24"/>
  <c r="C1082" i="24"/>
  <c r="G1082" i="24"/>
  <c r="C1083" i="24"/>
  <c r="F1083" i="24"/>
  <c r="C1084" i="24"/>
  <c r="F1084" i="24"/>
  <c r="C1085" i="24"/>
  <c r="F1085" i="24"/>
  <c r="C1086" i="24"/>
  <c r="G1086" i="24"/>
  <c r="C1087" i="24"/>
  <c r="F1087" i="24"/>
  <c r="D1088" i="24"/>
  <c r="E1088" i="24"/>
  <c r="C1094" i="24"/>
  <c r="G1094" i="24"/>
  <c r="C1095" i="24"/>
  <c r="G1095" i="24"/>
  <c r="C1096" i="24"/>
  <c r="C1097" i="24"/>
  <c r="G1097" i="24"/>
  <c r="C1098" i="24"/>
  <c r="G1098" i="24"/>
  <c r="D1099" i="24"/>
  <c r="O1115" i="40"/>
  <c r="E1099" i="24"/>
  <c r="F1099" i="24"/>
  <c r="D1111" i="24"/>
  <c r="C1117" i="24"/>
  <c r="C1160" i="24"/>
  <c r="G1160" i="24"/>
  <c r="C1237" i="24"/>
  <c r="D1238" i="24"/>
  <c r="O1118" i="40"/>
  <c r="E1238" i="24"/>
  <c r="O1551" i="40"/>
  <c r="O1552" i="40"/>
  <c r="C1283" i="24"/>
  <c r="G1283" i="24"/>
  <c r="C1299" i="24"/>
  <c r="C1300" i="24"/>
  <c r="G1300" i="24"/>
  <c r="C1301" i="24"/>
  <c r="D1302" i="24"/>
  <c r="E1302" i="24"/>
  <c r="O1553" i="40"/>
  <c r="D1345" i="24"/>
  <c r="O1121" i="40"/>
  <c r="E1345" i="24"/>
  <c r="D1347" i="24"/>
  <c r="C1348" i="24"/>
  <c r="D1348" i="24"/>
  <c r="F1348" i="24"/>
  <c r="C1350" i="24"/>
  <c r="F1350" i="24"/>
  <c r="C1353" i="24"/>
  <c r="G1353" i="24"/>
  <c r="C1354" i="24"/>
  <c r="G1354" i="24"/>
  <c r="C1355" i="24"/>
  <c r="G1355" i="24"/>
  <c r="E1356" i="24"/>
  <c r="O1555" i="40"/>
  <c r="C1358" i="24"/>
  <c r="G1358" i="24"/>
  <c r="C1359" i="24"/>
  <c r="C1361" i="24"/>
  <c r="G1361" i="24"/>
  <c r="F1361" i="24"/>
  <c r="C1362" i="24"/>
  <c r="G1362" i="24"/>
  <c r="C1363" i="24"/>
  <c r="G1363" i="24"/>
  <c r="C1364" i="24"/>
  <c r="C1365" i="24"/>
  <c r="G1365" i="24"/>
  <c r="C1366" i="24"/>
  <c r="G1366" i="24"/>
  <c r="D6" i="40"/>
  <c r="M6" i="40"/>
  <c r="F146" i="40"/>
  <c r="D147" i="40"/>
  <c r="D1570" i="40"/>
  <c r="D148" i="40"/>
  <c r="M148" i="40"/>
  <c r="D149" i="40"/>
  <c r="M149" i="40"/>
  <c r="D150" i="40"/>
  <c r="M150" i="40"/>
  <c r="D151" i="40"/>
  <c r="D152" i="40"/>
  <c r="D153" i="40"/>
  <c r="M153" i="40"/>
  <c r="D154" i="40"/>
  <c r="D155" i="40"/>
  <c r="M155" i="40"/>
  <c r="D156" i="40"/>
  <c r="D157" i="40"/>
  <c r="M157" i="40"/>
  <c r="D158" i="40"/>
  <c r="M158" i="40"/>
  <c r="D159" i="40"/>
  <c r="M159" i="40"/>
  <c r="D160" i="40"/>
  <c r="M160" i="40"/>
  <c r="D161" i="40"/>
  <c r="M161" i="40"/>
  <c r="D162" i="40"/>
  <c r="D163" i="40"/>
  <c r="M163" i="40"/>
  <c r="D164" i="40"/>
  <c r="M164" i="40"/>
  <c r="D165" i="40"/>
  <c r="D166" i="40"/>
  <c r="M166" i="40"/>
  <c r="D167" i="40"/>
  <c r="M167" i="40"/>
  <c r="D168" i="40"/>
  <c r="M168" i="40"/>
  <c r="D169" i="40"/>
  <c r="M169" i="40"/>
  <c r="D170" i="40"/>
  <c r="M170" i="40"/>
  <c r="D171" i="40"/>
  <c r="M171" i="40"/>
  <c r="D172" i="40"/>
  <c r="M172" i="40"/>
  <c r="D173" i="40"/>
  <c r="M173" i="40"/>
  <c r="D174" i="40"/>
  <c r="D175" i="40"/>
  <c r="M175" i="40"/>
  <c r="D176" i="40"/>
  <c r="M176" i="40"/>
  <c r="D177" i="40"/>
  <c r="M177" i="40"/>
  <c r="D178" i="40"/>
  <c r="D179" i="40"/>
  <c r="M179" i="40"/>
  <c r="D180" i="40"/>
  <c r="M180" i="40"/>
  <c r="D181" i="40"/>
  <c r="M181" i="40"/>
  <c r="D182" i="40"/>
  <c r="D183" i="40"/>
  <c r="M183" i="40"/>
  <c r="D184" i="40"/>
  <c r="M184" i="40"/>
  <c r="D185" i="40"/>
  <c r="M185" i="40"/>
  <c r="D186" i="40"/>
  <c r="M186" i="40"/>
  <c r="D187" i="40"/>
  <c r="M187" i="40"/>
  <c r="D188" i="40"/>
  <c r="M188" i="40"/>
  <c r="D189" i="40"/>
  <c r="M189" i="40"/>
  <c r="D190" i="40"/>
  <c r="M190" i="40"/>
  <c r="D191" i="40"/>
  <c r="M191" i="40"/>
  <c r="D192" i="40"/>
  <c r="M192" i="40"/>
  <c r="D193" i="40"/>
  <c r="M193" i="40"/>
  <c r="D194" i="40"/>
  <c r="D195" i="40"/>
  <c r="M195" i="40"/>
  <c r="D196" i="40"/>
  <c r="M196" i="40"/>
  <c r="D197" i="40"/>
  <c r="M197" i="40"/>
  <c r="D198" i="40"/>
  <c r="M198" i="40"/>
  <c r="D199" i="40"/>
  <c r="M199" i="40"/>
  <c r="D200" i="40"/>
  <c r="M200" i="40"/>
  <c r="D201" i="40"/>
  <c r="M201" i="40"/>
  <c r="D202" i="40"/>
  <c r="M202" i="40"/>
  <c r="D203" i="40"/>
  <c r="M203" i="40"/>
  <c r="D204" i="40"/>
  <c r="M204" i="40"/>
  <c r="D205" i="40"/>
  <c r="M205" i="40"/>
  <c r="D206" i="40"/>
  <c r="M206" i="40"/>
  <c r="D207" i="40"/>
  <c r="M207" i="40"/>
  <c r="D209" i="40"/>
  <c r="M209" i="40"/>
  <c r="D210" i="40"/>
  <c r="M210" i="40"/>
  <c r="D211" i="40"/>
  <c r="M211" i="40"/>
  <c r="D212" i="40"/>
  <c r="D213" i="40"/>
  <c r="E217" i="40"/>
  <c r="M217" i="40"/>
  <c r="D272" i="40"/>
  <c r="M272" i="40"/>
  <c r="E288" i="40"/>
  <c r="F288" i="40"/>
  <c r="G288" i="40"/>
  <c r="M288" i="40"/>
  <c r="H288" i="40"/>
  <c r="D289" i="40"/>
  <c r="M289" i="40"/>
  <c r="D290" i="40"/>
  <c r="M290" i="40"/>
  <c r="D291" i="40"/>
  <c r="M291" i="40"/>
  <c r="D292" i="40"/>
  <c r="M292" i="40"/>
  <c r="D293" i="40"/>
  <c r="M293" i="40"/>
  <c r="D294" i="40"/>
  <c r="M294" i="40"/>
  <c r="D295" i="40"/>
  <c r="M295" i="40"/>
  <c r="D296" i="40"/>
  <c r="M296" i="40"/>
  <c r="D297" i="40"/>
  <c r="M297" i="40"/>
  <c r="D298" i="40"/>
  <c r="M298" i="40"/>
  <c r="D299" i="40"/>
  <c r="M299" i="40"/>
  <c r="D300" i="40"/>
  <c r="M300" i="40"/>
  <c r="D301" i="40"/>
  <c r="M301" i="40"/>
  <c r="D302" i="40"/>
  <c r="M302" i="40"/>
  <c r="D303" i="40"/>
  <c r="M303" i="40"/>
  <c r="D304" i="40"/>
  <c r="D305" i="40"/>
  <c r="D306" i="40"/>
  <c r="M306" i="40"/>
  <c r="D307" i="40"/>
  <c r="M307" i="40"/>
  <c r="D308" i="40"/>
  <c r="M308" i="40"/>
  <c r="D309" i="40"/>
  <c r="M309" i="40"/>
  <c r="D310" i="40"/>
  <c r="M310" i="40"/>
  <c r="D311" i="40"/>
  <c r="M311" i="40"/>
  <c r="D312" i="40"/>
  <c r="M312" i="40"/>
  <c r="D313" i="40"/>
  <c r="D314" i="40"/>
  <c r="M314" i="40"/>
  <c r="D315" i="40"/>
  <c r="D316" i="40"/>
  <c r="M316" i="40"/>
  <c r="D317" i="40"/>
  <c r="M317" i="40"/>
  <c r="D318" i="40"/>
  <c r="M318" i="40"/>
  <c r="D319" i="40"/>
  <c r="M319" i="40"/>
  <c r="D320" i="40"/>
  <c r="M320" i="40"/>
  <c r="D321" i="40"/>
  <c r="M321" i="40"/>
  <c r="D322" i="40"/>
  <c r="M322" i="40"/>
  <c r="D323" i="40"/>
  <c r="D324" i="40"/>
  <c r="M324" i="40"/>
  <c r="D325" i="40"/>
  <c r="M325" i="40"/>
  <c r="D326" i="40"/>
  <c r="M326" i="40"/>
  <c r="D327" i="40"/>
  <c r="M327" i="40"/>
  <c r="D328" i="40"/>
  <c r="D329" i="40"/>
  <c r="M329" i="40"/>
  <c r="D330" i="40"/>
  <c r="D331" i="40"/>
  <c r="M331" i="40"/>
  <c r="D332" i="40"/>
  <c r="M332" i="40"/>
  <c r="D333" i="40"/>
  <c r="M333" i="40"/>
  <c r="D334" i="40"/>
  <c r="M334" i="40"/>
  <c r="D335" i="40"/>
  <c r="M335" i="40"/>
  <c r="D336" i="40"/>
  <c r="M336" i="40"/>
  <c r="D337" i="40"/>
  <c r="M337" i="40"/>
  <c r="D338" i="40"/>
  <c r="M338" i="40"/>
  <c r="D339" i="40"/>
  <c r="M339" i="40"/>
  <c r="D340" i="40"/>
  <c r="M340" i="40"/>
  <c r="D341" i="40"/>
  <c r="M341" i="40"/>
  <c r="D342" i="40"/>
  <c r="M342" i="40"/>
  <c r="D343" i="40"/>
  <c r="M343" i="40"/>
  <c r="D344" i="40"/>
  <c r="M344" i="40"/>
  <c r="D345" i="40"/>
  <c r="M345" i="40"/>
  <c r="D346" i="40"/>
  <c r="M346" i="40"/>
  <c r="D347" i="40"/>
  <c r="M347" i="40"/>
  <c r="D348" i="40"/>
  <c r="M348" i="40"/>
  <c r="D349" i="40"/>
  <c r="M349" i="40"/>
  <c r="D350" i="40"/>
  <c r="D351" i="40"/>
  <c r="M351" i="40"/>
  <c r="D352" i="40"/>
  <c r="M352" i="40"/>
  <c r="D353" i="40"/>
  <c r="D354" i="40"/>
  <c r="M354" i="40"/>
  <c r="F359" i="40"/>
  <c r="G359" i="40"/>
  <c r="H359" i="40"/>
  <c r="I359" i="40"/>
  <c r="K359" i="40"/>
  <c r="L359" i="40"/>
  <c r="E360" i="40"/>
  <c r="D360" i="40"/>
  <c r="J360" i="40"/>
  <c r="E361" i="40"/>
  <c r="J361" i="40"/>
  <c r="E362" i="40"/>
  <c r="D362" i="40"/>
  <c r="M362" i="40"/>
  <c r="J362" i="40"/>
  <c r="E363" i="40"/>
  <c r="D363" i="40"/>
  <c r="J363" i="40"/>
  <c r="E364" i="40"/>
  <c r="D364" i="40"/>
  <c r="M364" i="40"/>
  <c r="J364" i="40"/>
  <c r="E365" i="40"/>
  <c r="D365" i="40"/>
  <c r="J365" i="40"/>
  <c r="E366" i="40"/>
  <c r="D366" i="40"/>
  <c r="J366" i="40"/>
  <c r="E367" i="40"/>
  <c r="J367" i="40"/>
  <c r="D367" i="40"/>
  <c r="E368" i="40"/>
  <c r="J368" i="40"/>
  <c r="D368" i="40"/>
  <c r="M368" i="40"/>
  <c r="E369" i="40"/>
  <c r="J369" i="40"/>
  <c r="D369" i="40"/>
  <c r="M369" i="40"/>
  <c r="E370" i="40"/>
  <c r="J370" i="40"/>
  <c r="D370" i="40"/>
  <c r="M370" i="40"/>
  <c r="E371" i="40"/>
  <c r="J371" i="40"/>
  <c r="E372" i="40"/>
  <c r="J372" i="40"/>
  <c r="E373" i="40"/>
  <c r="J373" i="40"/>
  <c r="E374" i="40"/>
  <c r="D374" i="40"/>
  <c r="M374" i="40"/>
  <c r="J374" i="40"/>
  <c r="E375" i="40"/>
  <c r="D375" i="40"/>
  <c r="M375" i="40"/>
  <c r="J375" i="40"/>
  <c r="E376" i="40"/>
  <c r="J376" i="40"/>
  <c r="E377" i="40"/>
  <c r="D377" i="40"/>
  <c r="M377" i="40"/>
  <c r="J377" i="40"/>
  <c r="E378" i="40"/>
  <c r="J378" i="40"/>
  <c r="E379" i="40"/>
  <c r="J379" i="40"/>
  <c r="E380" i="40"/>
  <c r="J380" i="40"/>
  <c r="E381" i="40"/>
  <c r="D381" i="40"/>
  <c r="M381" i="40"/>
  <c r="J381" i="40"/>
  <c r="E382" i="40"/>
  <c r="J382" i="40"/>
  <c r="E383" i="40"/>
  <c r="J383" i="40"/>
  <c r="E384" i="40"/>
  <c r="J384" i="40"/>
  <c r="E385" i="40"/>
  <c r="J385" i="40"/>
  <c r="D385" i="40"/>
  <c r="E386" i="40"/>
  <c r="J386" i="40"/>
  <c r="E387" i="40"/>
  <c r="J387" i="40"/>
  <c r="E388" i="40"/>
  <c r="J388" i="40"/>
  <c r="E389" i="40"/>
  <c r="J389" i="40"/>
  <c r="E390" i="40"/>
  <c r="J390" i="40"/>
  <c r="E391" i="40"/>
  <c r="J391" i="40"/>
  <c r="E392" i="40"/>
  <c r="J392" i="40"/>
  <c r="E393" i="40"/>
  <c r="D393" i="40"/>
  <c r="J393" i="40"/>
  <c r="E394" i="40"/>
  <c r="J394" i="40"/>
  <c r="E395" i="40"/>
  <c r="D395" i="40"/>
  <c r="M395" i="40"/>
  <c r="J395" i="40"/>
  <c r="E396" i="40"/>
  <c r="J396" i="40"/>
  <c r="E397" i="40"/>
  <c r="J397" i="40"/>
  <c r="E398" i="40"/>
  <c r="J398" i="40"/>
  <c r="E399" i="40"/>
  <c r="J399" i="40"/>
  <c r="E400" i="40"/>
  <c r="J400" i="40"/>
  <c r="E401" i="40"/>
  <c r="D401" i="40"/>
  <c r="M401" i="40"/>
  <c r="J401" i="40"/>
  <c r="E402" i="40"/>
  <c r="D402" i="40"/>
  <c r="J402" i="40"/>
  <c r="E403" i="40"/>
  <c r="J403" i="40"/>
  <c r="E404" i="40"/>
  <c r="J404" i="40"/>
  <c r="E405" i="40"/>
  <c r="J405" i="40"/>
  <c r="D405" i="40"/>
  <c r="M405" i="40"/>
  <c r="E406" i="40"/>
  <c r="J406" i="40"/>
  <c r="E407" i="40"/>
  <c r="D407" i="40"/>
  <c r="J407" i="40"/>
  <c r="E408" i="40"/>
  <c r="D408" i="40"/>
  <c r="M408" i="40"/>
  <c r="J408" i="40"/>
  <c r="E409" i="40"/>
  <c r="J409" i="40"/>
  <c r="D409" i="40"/>
  <c r="M409" i="40"/>
  <c r="E410" i="40"/>
  <c r="J410" i="40"/>
  <c r="D410" i="40"/>
  <c r="M410" i="40"/>
  <c r="E411" i="40"/>
  <c r="J411" i="40"/>
  <c r="E412" i="40"/>
  <c r="J412" i="40"/>
  <c r="D412" i="40"/>
  <c r="E413" i="40"/>
  <c r="J413" i="40"/>
  <c r="D413" i="40"/>
  <c r="M413" i="40"/>
  <c r="E414" i="40"/>
  <c r="D414" i="40"/>
  <c r="J414" i="40"/>
  <c r="M414" i="40"/>
  <c r="E415" i="40"/>
  <c r="J415" i="40"/>
  <c r="D415" i="40"/>
  <c r="M415" i="40"/>
  <c r="E416" i="40"/>
  <c r="J416" i="40"/>
  <c r="E417" i="40"/>
  <c r="D417" i="40"/>
  <c r="J417" i="40"/>
  <c r="E418" i="40"/>
  <c r="J418" i="40"/>
  <c r="E419" i="40"/>
  <c r="D419" i="40"/>
  <c r="M419" i="40"/>
  <c r="J419" i="40"/>
  <c r="E420" i="40"/>
  <c r="D420" i="40"/>
  <c r="M420" i="40"/>
  <c r="J420" i="40"/>
  <c r="E421" i="40"/>
  <c r="J421" i="40"/>
  <c r="E422" i="40"/>
  <c r="D422" i="40"/>
  <c r="J422" i="40"/>
  <c r="E423" i="40"/>
  <c r="J423" i="40"/>
  <c r="D423" i="40"/>
  <c r="E424" i="40"/>
  <c r="J424" i="40"/>
  <c r="E425" i="40"/>
  <c r="J425" i="40"/>
  <c r="D425" i="40"/>
  <c r="M425" i="40"/>
  <c r="D429" i="40"/>
  <c r="M429" i="40"/>
  <c r="D430" i="40"/>
  <c r="M430" i="40"/>
  <c r="D431" i="40"/>
  <c r="M431" i="40"/>
  <c r="D432" i="40"/>
  <c r="M432" i="40"/>
  <c r="D433" i="40"/>
  <c r="M433" i="40"/>
  <c r="D434" i="40"/>
  <c r="M434" i="40"/>
  <c r="D436" i="40"/>
  <c r="M436" i="40"/>
  <c r="D437" i="40"/>
  <c r="M437" i="40"/>
  <c r="D438" i="40"/>
  <c r="M438" i="40"/>
  <c r="D439" i="40"/>
  <c r="M439" i="40"/>
  <c r="D442" i="40"/>
  <c r="M442" i="40"/>
  <c r="D443" i="40"/>
  <c r="M443" i="40"/>
  <c r="D444" i="40"/>
  <c r="M444" i="40"/>
  <c r="D446" i="40"/>
  <c r="M446" i="40"/>
  <c r="D447" i="40"/>
  <c r="M447" i="40"/>
  <c r="D450" i="40"/>
  <c r="M450" i="40"/>
  <c r="D451" i="40"/>
  <c r="M451" i="40"/>
  <c r="D452" i="40"/>
  <c r="M452" i="40"/>
  <c r="D453" i="40"/>
  <c r="M453" i="40"/>
  <c r="D454" i="40"/>
  <c r="M454" i="40"/>
  <c r="D456" i="40"/>
  <c r="M456" i="40"/>
  <c r="D457" i="40"/>
  <c r="M457" i="40"/>
  <c r="D458" i="40"/>
  <c r="M458" i="40"/>
  <c r="D459" i="40"/>
  <c r="M459" i="40"/>
  <c r="D460" i="40"/>
  <c r="M460" i="40"/>
  <c r="D462" i="40"/>
  <c r="M462" i="40"/>
  <c r="D464" i="40"/>
  <c r="M464" i="40"/>
  <c r="D465" i="40"/>
  <c r="M465" i="40"/>
  <c r="D466" i="40"/>
  <c r="M466" i="40"/>
  <c r="D467" i="40"/>
  <c r="M467" i="40"/>
  <c r="D470" i="40"/>
  <c r="M470" i="40"/>
  <c r="D471" i="40"/>
  <c r="M471" i="40"/>
  <c r="D472" i="40"/>
  <c r="M472" i="40"/>
  <c r="D474" i="40"/>
  <c r="M474" i="40"/>
  <c r="D476" i="40"/>
  <c r="D478" i="40"/>
  <c r="M478" i="40"/>
  <c r="D479" i="40"/>
  <c r="D1620" i="40"/>
  <c r="D480" i="40"/>
  <c r="M480" i="40"/>
  <c r="D481" i="40"/>
  <c r="M481" i="40"/>
  <c r="D482" i="40"/>
  <c r="M482" i="40"/>
  <c r="D483" i="40"/>
  <c r="M483" i="40"/>
  <c r="D485" i="40"/>
  <c r="M485" i="40"/>
  <c r="D486" i="40"/>
  <c r="M486" i="40"/>
  <c r="D487" i="40"/>
  <c r="M487" i="40"/>
  <c r="D492" i="40"/>
  <c r="M492" i="40"/>
  <c r="D493" i="40"/>
  <c r="M493" i="40"/>
  <c r="D494" i="40"/>
  <c r="M494" i="40"/>
  <c r="D495" i="40"/>
  <c r="M495" i="40"/>
  <c r="D499" i="40"/>
  <c r="D500" i="40"/>
  <c r="D501" i="40"/>
  <c r="M501" i="40"/>
  <c r="D502" i="40"/>
  <c r="D1573" i="40"/>
  <c r="E503" i="40"/>
  <c r="D503" i="40"/>
  <c r="M503" i="40"/>
  <c r="D504" i="40"/>
  <c r="M504" i="40"/>
  <c r="D505" i="40"/>
  <c r="M505" i="40"/>
  <c r="D506" i="40"/>
  <c r="M506" i="40"/>
  <c r="D507" i="40"/>
  <c r="D508" i="40"/>
  <c r="M508" i="40"/>
  <c r="E509" i="40"/>
  <c r="D509" i="40"/>
  <c r="E510" i="40"/>
  <c r="D510" i="40"/>
  <c r="M510" i="40"/>
  <c r="E511" i="40"/>
  <c r="D511" i="40"/>
  <c r="M511" i="40"/>
  <c r="E512" i="40"/>
  <c r="D512" i="40"/>
  <c r="D513" i="40"/>
  <c r="M513" i="40"/>
  <c r="D514" i="40"/>
  <c r="M514" i="40"/>
  <c r="E515" i="40"/>
  <c r="D515" i="40"/>
  <c r="M515" i="40"/>
  <c r="D516" i="40"/>
  <c r="M516" i="40"/>
  <c r="E517" i="40"/>
  <c r="D517" i="40"/>
  <c r="M517" i="40"/>
  <c r="E518" i="40"/>
  <c r="D518" i="40"/>
  <c r="M518" i="40"/>
  <c r="D519" i="40"/>
  <c r="M519" i="40"/>
  <c r="D520" i="40"/>
  <c r="M520" i="40"/>
  <c r="D521" i="40"/>
  <c r="M521" i="40"/>
  <c r="D522" i="40"/>
  <c r="M522" i="40"/>
  <c r="D523" i="40"/>
  <c r="M523" i="40"/>
  <c r="D524" i="40"/>
  <c r="M524" i="40"/>
  <c r="D525" i="40"/>
  <c r="M525" i="40"/>
  <c r="D526" i="40"/>
  <c r="M526" i="40"/>
  <c r="D527" i="40"/>
  <c r="M527" i="40"/>
  <c r="E528" i="40"/>
  <c r="D528" i="40"/>
  <c r="M528" i="40"/>
  <c r="D529" i="40"/>
  <c r="M529" i="40"/>
  <c r="E530" i="40"/>
  <c r="D530" i="40"/>
  <c r="M530" i="40"/>
  <c r="E531" i="40"/>
  <c r="D531" i="40"/>
  <c r="M531" i="40"/>
  <c r="D532" i="40"/>
  <c r="M532" i="40"/>
  <c r="D533" i="40"/>
  <c r="D534" i="40"/>
  <c r="M534" i="40"/>
  <c r="E535" i="40"/>
  <c r="D535" i="40"/>
  <c r="M535" i="40"/>
  <c r="D536" i="40"/>
  <c r="M536" i="40"/>
  <c r="E537" i="40"/>
  <c r="D537" i="40"/>
  <c r="M537" i="40"/>
  <c r="E538" i="40"/>
  <c r="D538" i="40"/>
  <c r="M538" i="40"/>
  <c r="D539" i="40"/>
  <c r="M539" i="40"/>
  <c r="D540" i="40"/>
  <c r="M540" i="40"/>
  <c r="D541" i="40"/>
  <c r="M541" i="40"/>
  <c r="D542" i="40"/>
  <c r="M542" i="40"/>
  <c r="D543" i="40"/>
  <c r="M543" i="40"/>
  <c r="E544" i="40"/>
  <c r="D544" i="40"/>
  <c r="M544" i="40"/>
  <c r="E545" i="40"/>
  <c r="D545" i="40"/>
  <c r="M545" i="40"/>
  <c r="D546" i="40"/>
  <c r="M546" i="40"/>
  <c r="E547" i="40"/>
  <c r="D547" i="40"/>
  <c r="E548" i="40"/>
  <c r="D548" i="40"/>
  <c r="M548" i="40"/>
  <c r="D549" i="40"/>
  <c r="M549" i="40"/>
  <c r="D550" i="40"/>
  <c r="D551" i="40"/>
  <c r="M551" i="40"/>
  <c r="E552" i="40"/>
  <c r="D552" i="40"/>
  <c r="M552" i="40"/>
  <c r="E553" i="40"/>
  <c r="D553" i="40"/>
  <c r="M553" i="40"/>
  <c r="D554" i="40"/>
  <c r="M554" i="40"/>
  <c r="D555" i="40"/>
  <c r="M555" i="40"/>
  <c r="D556" i="40"/>
  <c r="M556" i="40"/>
  <c r="D557" i="40"/>
  <c r="M557" i="40"/>
  <c r="E558" i="40"/>
  <c r="D558" i="40"/>
  <c r="M558" i="40"/>
  <c r="E559" i="40"/>
  <c r="D559" i="40"/>
  <c r="M559" i="40"/>
  <c r="E560" i="40"/>
  <c r="D560" i="40"/>
  <c r="M560" i="40"/>
  <c r="E561" i="40"/>
  <c r="D561" i="40"/>
  <c r="M561" i="40"/>
  <c r="E562" i="40"/>
  <c r="D562" i="40"/>
  <c r="M562" i="40"/>
  <c r="E563" i="40"/>
  <c r="D563" i="40"/>
  <c r="D564" i="40"/>
  <c r="M564" i="40"/>
  <c r="D565" i="40"/>
  <c r="N565" i="40"/>
  <c r="D596" i="40"/>
  <c r="M596" i="40"/>
  <c r="D614" i="40"/>
  <c r="M614" i="40"/>
  <c r="E1034" i="40"/>
  <c r="D1034" i="40"/>
  <c r="M1034" i="40"/>
  <c r="D1068" i="40"/>
  <c r="M1068" i="40"/>
  <c r="M1069" i="40"/>
  <c r="D1071" i="40"/>
  <c r="M1071" i="40"/>
  <c r="M1072" i="40"/>
  <c r="M1073" i="40"/>
  <c r="M1076" i="40"/>
  <c r="D1079" i="40"/>
  <c r="M1079" i="40"/>
  <c r="M1080" i="40"/>
  <c r="M1084" i="40"/>
  <c r="M1093" i="40"/>
  <c r="M1096" i="40"/>
  <c r="D1107" i="40"/>
  <c r="M1107" i="40"/>
  <c r="D1112" i="40"/>
  <c r="M1122" i="40"/>
  <c r="D1124" i="40"/>
  <c r="D1128" i="40"/>
  <c r="O1128" i="40"/>
  <c r="D1137" i="40"/>
  <c r="M1137" i="40"/>
  <c r="D1138" i="40"/>
  <c r="M1138" i="40"/>
  <c r="D1139" i="40"/>
  <c r="D1140" i="40"/>
  <c r="M1140" i="40"/>
  <c r="D1141" i="40"/>
  <c r="D1643" i="40"/>
  <c r="D1142" i="40"/>
  <c r="M1142" i="40"/>
  <c r="D1143" i="40"/>
  <c r="M1143" i="40"/>
  <c r="D1144" i="40"/>
  <c r="M1144" i="40"/>
  <c r="D1145" i="40"/>
  <c r="M1145" i="40"/>
  <c r="D1146" i="40"/>
  <c r="M1146" i="40"/>
  <c r="D1147" i="40"/>
  <c r="M1147" i="40"/>
  <c r="D1148" i="40"/>
  <c r="M1148" i="40"/>
  <c r="D1149" i="40"/>
  <c r="D1150" i="40"/>
  <c r="M1150" i="40"/>
  <c r="D1151" i="40"/>
  <c r="M1151" i="40"/>
  <c r="D1152" i="40"/>
  <c r="M1152" i="40"/>
  <c r="D1153" i="40"/>
  <c r="D1154" i="40"/>
  <c r="M1154" i="40"/>
  <c r="D1155" i="40"/>
  <c r="D1156" i="40"/>
  <c r="D1157" i="40"/>
  <c r="M1157" i="40"/>
  <c r="D1158" i="40"/>
  <c r="M1158" i="40"/>
  <c r="D1159" i="40"/>
  <c r="M1159" i="40"/>
  <c r="D1160" i="40"/>
  <c r="M1160" i="40"/>
  <c r="D1161" i="40"/>
  <c r="M1161" i="40"/>
  <c r="D1162" i="40"/>
  <c r="M1162" i="40"/>
  <c r="D1163" i="40"/>
  <c r="M1163" i="40"/>
  <c r="D1165" i="40"/>
  <c r="M1165" i="40"/>
  <c r="D1166" i="40"/>
  <c r="M1166" i="40"/>
  <c r="D1167" i="40"/>
  <c r="M1167" i="40"/>
  <c r="D1168" i="40"/>
  <c r="M1168" i="40"/>
  <c r="D1169" i="40"/>
  <c r="D1170" i="40"/>
  <c r="M1170" i="40"/>
  <c r="D1171" i="40"/>
  <c r="M1171" i="40"/>
  <c r="D1172" i="40"/>
  <c r="D1173" i="40"/>
  <c r="M1173" i="40"/>
  <c r="D1174" i="40"/>
  <c r="M1174" i="40"/>
  <c r="D1175" i="40"/>
  <c r="M1175" i="40"/>
  <c r="D1176" i="40"/>
  <c r="M1176" i="40"/>
  <c r="D1177" i="40"/>
  <c r="M1177" i="40"/>
  <c r="D1178" i="40"/>
  <c r="M1178" i="40"/>
  <c r="D1179" i="40"/>
  <c r="M1179" i="40"/>
  <c r="D1180" i="40"/>
  <c r="D1181" i="40"/>
  <c r="M1181" i="40"/>
  <c r="D1182" i="40"/>
  <c r="D1183" i="40"/>
  <c r="M1183" i="40"/>
  <c r="D1184" i="40"/>
  <c r="M1184" i="40"/>
  <c r="M1185" i="40"/>
  <c r="D1186" i="40"/>
  <c r="M1186" i="40"/>
  <c r="D1187" i="40"/>
  <c r="M1187" i="40"/>
  <c r="D1188" i="40"/>
  <c r="M1188" i="40"/>
  <c r="D1189" i="40"/>
  <c r="M1189" i="40"/>
  <c r="D1190" i="40"/>
  <c r="D1191" i="40"/>
  <c r="M1191" i="40"/>
  <c r="D1192" i="40"/>
  <c r="M1192" i="40"/>
  <c r="D1193" i="40"/>
  <c r="M1193" i="40"/>
  <c r="D1194" i="40"/>
  <c r="D1195" i="40"/>
  <c r="M1195" i="40"/>
  <c r="D1197" i="40"/>
  <c r="D1198" i="40"/>
  <c r="M1198" i="40"/>
  <c r="D1199" i="40"/>
  <c r="D1200" i="40"/>
  <c r="M1200" i="40"/>
  <c r="D1202" i="40"/>
  <c r="M1202" i="40"/>
  <c r="E1203" i="40"/>
  <c r="E1136" i="40"/>
  <c r="F1203" i="40"/>
  <c r="D1277" i="40"/>
  <c r="D1278" i="40"/>
  <c r="D1640" i="40"/>
  <c r="D1279" i="40"/>
  <c r="D1280" i="40"/>
  <c r="D1281" i="40"/>
  <c r="M1281" i="40"/>
  <c r="D1282" i="40"/>
  <c r="M1282" i="40"/>
  <c r="D1283" i="40"/>
  <c r="M1283" i="40"/>
  <c r="D1284" i="40"/>
  <c r="M1284" i="40"/>
  <c r="D1285" i="40"/>
  <c r="D1286" i="40"/>
  <c r="M1286" i="40"/>
  <c r="D1287" i="40"/>
  <c r="M1287" i="40"/>
  <c r="D1288" i="40"/>
  <c r="D1289" i="40"/>
  <c r="D1290" i="40"/>
  <c r="D1291" i="40"/>
  <c r="P1504" i="40"/>
  <c r="D1292" i="40"/>
  <c r="D1293" i="40"/>
  <c r="M1293" i="40"/>
  <c r="D1294" i="40"/>
  <c r="M1294" i="40"/>
  <c r="D1295" i="40"/>
  <c r="M1295" i="40"/>
  <c r="D1296" i="40"/>
  <c r="M1296" i="40"/>
  <c r="D1297" i="40"/>
  <c r="D1298" i="40"/>
  <c r="M1298" i="40"/>
  <c r="D1299" i="40"/>
  <c r="M1299" i="40"/>
  <c r="D1300" i="40"/>
  <c r="D1301" i="40"/>
  <c r="D1302" i="40"/>
  <c r="M1302" i="40"/>
  <c r="D1303" i="40"/>
  <c r="M1303" i="40"/>
  <c r="D1304" i="40"/>
  <c r="M1304" i="40"/>
  <c r="D1305" i="40"/>
  <c r="M1305" i="40"/>
  <c r="D1306" i="40"/>
  <c r="D1307" i="40"/>
  <c r="M1307" i="40"/>
  <c r="D1308" i="40"/>
  <c r="D1309" i="40"/>
  <c r="D1310" i="40"/>
  <c r="D1672" i="40"/>
  <c r="D1311" i="40"/>
  <c r="M1311" i="40"/>
  <c r="D1312" i="40"/>
  <c r="M1312" i="40"/>
  <c r="D1674" i="40"/>
  <c r="D1313" i="40"/>
  <c r="D1314" i="40"/>
  <c r="D1315" i="40"/>
  <c r="D1316" i="40"/>
  <c r="D1317" i="40"/>
  <c r="D1318" i="40"/>
  <c r="M1318" i="40"/>
  <c r="D1319" i="40"/>
  <c r="M1319" i="40"/>
  <c r="D1320" i="40"/>
  <c r="M1320" i="40"/>
  <c r="D1321" i="40"/>
  <c r="M1321" i="40"/>
  <c r="D1322" i="40"/>
  <c r="D1323" i="40"/>
  <c r="D1324" i="40"/>
  <c r="M1324" i="40"/>
  <c r="D1325" i="40"/>
  <c r="D1326" i="40"/>
  <c r="D1327" i="40"/>
  <c r="D1328" i="40"/>
  <c r="M1328" i="40"/>
  <c r="D1329" i="40"/>
  <c r="D1691" i="40"/>
  <c r="D1330" i="40"/>
  <c r="M1330" i="40"/>
  <c r="D1331" i="40"/>
  <c r="M1331" i="40"/>
  <c r="D1332" i="40"/>
  <c r="M1332" i="40"/>
  <c r="D1333" i="40"/>
  <c r="D1334" i="40"/>
  <c r="D1335" i="40"/>
  <c r="M1335" i="40"/>
  <c r="D1336" i="40"/>
  <c r="D1337" i="40"/>
  <c r="D1338" i="40"/>
  <c r="D1339" i="40"/>
  <c r="D1340" i="40"/>
  <c r="D1341" i="40"/>
  <c r="M1341" i="40"/>
  <c r="D1342" i="40"/>
  <c r="D1343" i="40"/>
  <c r="M1343" i="40"/>
  <c r="D1344" i="40"/>
  <c r="M1344" i="40"/>
  <c r="E1416" i="40"/>
  <c r="F1416" i="40"/>
  <c r="D1419" i="40"/>
  <c r="M1419" i="40"/>
  <c r="D1420" i="40"/>
  <c r="M1420" i="40"/>
  <c r="D1421" i="40"/>
  <c r="M1421" i="40"/>
  <c r="D1422" i="40"/>
  <c r="M1422" i="40"/>
  <c r="D1423" i="40"/>
  <c r="M1423" i="40"/>
  <c r="D1424" i="40"/>
  <c r="M1424" i="40"/>
  <c r="D1425" i="40"/>
  <c r="M1425" i="40"/>
  <c r="D1426" i="40"/>
  <c r="M1426" i="40"/>
  <c r="D1427" i="40"/>
  <c r="M1427" i="40"/>
  <c r="D1428" i="40"/>
  <c r="M1428" i="40"/>
  <c r="D1429" i="40"/>
  <c r="M1429" i="40"/>
  <c r="D1430" i="40"/>
  <c r="M1430" i="40"/>
  <c r="D1431" i="40"/>
  <c r="M1431" i="40"/>
  <c r="D1432" i="40"/>
  <c r="M1432" i="40"/>
  <c r="D1433" i="40"/>
  <c r="M1433" i="40"/>
  <c r="D1434" i="40"/>
  <c r="M1434" i="40"/>
  <c r="D1435" i="40"/>
  <c r="M1435" i="40"/>
  <c r="D1436" i="40"/>
  <c r="M1436" i="40"/>
  <c r="D1437" i="40"/>
  <c r="D1438" i="40"/>
  <c r="M1438" i="40"/>
  <c r="D1439" i="40"/>
  <c r="M1439" i="40"/>
  <c r="D1440" i="40"/>
  <c r="M1440" i="40"/>
  <c r="D1441" i="40"/>
  <c r="M1441" i="40"/>
  <c r="D1442" i="40"/>
  <c r="M1442" i="40"/>
  <c r="D1443" i="40"/>
  <c r="M1443" i="40"/>
  <c r="D1444" i="40"/>
  <c r="M1444" i="40"/>
  <c r="D1445" i="40"/>
  <c r="M1445" i="40"/>
  <c r="D1446" i="40"/>
  <c r="D1666" i="40"/>
  <c r="D1447" i="40"/>
  <c r="M1447" i="40"/>
  <c r="D1448" i="40"/>
  <c r="M1448" i="40"/>
  <c r="D1449" i="40"/>
  <c r="M1449" i="40"/>
  <c r="D1450" i="40"/>
  <c r="M1450" i="40"/>
  <c r="D1451" i="40"/>
  <c r="D1452" i="40"/>
  <c r="M1452" i="40"/>
  <c r="D1453" i="40"/>
  <c r="M1453" i="40"/>
  <c r="D1454" i="40"/>
  <c r="M1454" i="40"/>
  <c r="D1455" i="40"/>
  <c r="D1456" i="40"/>
  <c r="M1456" i="40"/>
  <c r="D1457" i="40"/>
  <c r="D1458" i="40"/>
  <c r="M1458" i="40"/>
  <c r="D1459" i="40"/>
  <c r="D1460" i="40"/>
  <c r="D1461" i="40"/>
  <c r="M1461" i="40"/>
  <c r="D1462" i="40"/>
  <c r="D1463" i="40"/>
  <c r="D1464" i="40"/>
  <c r="M1464" i="40"/>
  <c r="D1465" i="40"/>
  <c r="D1466" i="40"/>
  <c r="M1466" i="40"/>
  <c r="D1467" i="40"/>
  <c r="M1467" i="40"/>
  <c r="D1468" i="40"/>
  <c r="M1468" i="40"/>
  <c r="D1469" i="40"/>
  <c r="D1470" i="40"/>
  <c r="M1470" i="40"/>
  <c r="D1471" i="40"/>
  <c r="M1471" i="40"/>
  <c r="D1472" i="40"/>
  <c r="M1472" i="40"/>
  <c r="D1473" i="40"/>
  <c r="D1474" i="40"/>
  <c r="M1474" i="40"/>
  <c r="D1475" i="40"/>
  <c r="M1475" i="40"/>
  <c r="D1476" i="40"/>
  <c r="M1476" i="40"/>
  <c r="D1477" i="40"/>
  <c r="D1478" i="40"/>
  <c r="M1478" i="40"/>
  <c r="D1479" i="40"/>
  <c r="D1480" i="40"/>
  <c r="M1480" i="40"/>
  <c r="D1481" i="40"/>
  <c r="D1482" i="40"/>
  <c r="M1482" i="40"/>
  <c r="D1483" i="40"/>
  <c r="M1483" i="40"/>
  <c r="D1484" i="40"/>
  <c r="M1484" i="40"/>
  <c r="D1485" i="40"/>
  <c r="M1485" i="40"/>
  <c r="D1493" i="40"/>
  <c r="M1493" i="40"/>
  <c r="M1501" i="40"/>
  <c r="M1512" i="40"/>
  <c r="D1513" i="40"/>
  <c r="M1513" i="40"/>
  <c r="M1517" i="40"/>
  <c r="M1530" i="40"/>
  <c r="M1529" i="40"/>
  <c r="D1534" i="40"/>
  <c r="M1534" i="40"/>
  <c r="D1540" i="40"/>
  <c r="M1540" i="40"/>
  <c r="M1544" i="40"/>
  <c r="D1548" i="40"/>
  <c r="M1548" i="40"/>
  <c r="M1556" i="40"/>
  <c r="D1555" i="40"/>
  <c r="M1555" i="40"/>
  <c r="M1560" i="40"/>
  <c r="D1559" i="40"/>
  <c r="M1559" i="40"/>
  <c r="D1565" i="40"/>
  <c r="M1565" i="40"/>
  <c r="C13" i="39"/>
  <c r="E13" i="39"/>
  <c r="C15" i="39"/>
  <c r="E15" i="39"/>
  <c r="C17" i="39"/>
  <c r="G17" i="39"/>
  <c r="C23" i="39"/>
  <c r="G23" i="39"/>
  <c r="C29" i="39"/>
  <c r="E29" i="39"/>
  <c r="C33" i="39"/>
  <c r="E33" i="39"/>
  <c r="C35" i="39"/>
  <c r="E35" i="39"/>
  <c r="G37" i="39"/>
  <c r="G39" i="39"/>
  <c r="C41" i="39"/>
  <c r="G41" i="39"/>
  <c r="C47" i="39"/>
  <c r="C48" i="39"/>
  <c r="C92" i="39"/>
  <c r="C114" i="39"/>
  <c r="C115" i="39"/>
  <c r="C116" i="39"/>
  <c r="C117" i="39"/>
  <c r="C118" i="39"/>
  <c r="C119" i="39"/>
  <c r="C120" i="39"/>
  <c r="C121" i="39"/>
  <c r="C122" i="39"/>
  <c r="C123" i="39"/>
  <c r="C124" i="39"/>
  <c r="C125" i="39"/>
  <c r="C126" i="39"/>
  <c r="C127" i="39"/>
  <c r="C128" i="39"/>
  <c r="C129" i="39"/>
  <c r="C130" i="39"/>
  <c r="C131" i="39"/>
  <c r="C132" i="39"/>
  <c r="C133" i="39"/>
  <c r="C134" i="39"/>
  <c r="C135" i="39"/>
  <c r="C136" i="39"/>
  <c r="C137" i="39"/>
  <c r="C138" i="39"/>
  <c r="C139" i="39"/>
  <c r="C140" i="39"/>
  <c r="C141" i="39"/>
  <c r="C143" i="39"/>
  <c r="C144" i="39"/>
  <c r="C145" i="39"/>
  <c r="C146" i="39"/>
  <c r="C147" i="39"/>
  <c r="C148" i="39"/>
  <c r="C149" i="39"/>
  <c r="C151" i="39"/>
  <c r="E151" i="39"/>
  <c r="C152" i="39"/>
  <c r="E152" i="39"/>
  <c r="C154" i="39"/>
  <c r="C155" i="39"/>
  <c r="C156" i="39"/>
  <c r="C157" i="39"/>
  <c r="C158" i="39"/>
  <c r="C159" i="39"/>
  <c r="C160" i="39"/>
  <c r="C161" i="39"/>
  <c r="C162" i="39"/>
  <c r="C164" i="39"/>
  <c r="C165" i="39"/>
  <c r="C166" i="39"/>
  <c r="C167" i="39"/>
  <c r="C168" i="39"/>
  <c r="C169" i="39"/>
  <c r="C170" i="39"/>
  <c r="C171" i="39"/>
  <c r="C172" i="39"/>
  <c r="C174" i="39"/>
  <c r="E174" i="39"/>
  <c r="C175" i="39"/>
  <c r="C176" i="39"/>
  <c r="C177" i="39"/>
  <c r="C178" i="39"/>
  <c r="C179" i="39"/>
  <c r="E179" i="39"/>
  <c r="C202" i="39"/>
  <c r="C226" i="39"/>
  <c r="C247" i="39"/>
  <c r="A256" i="39"/>
  <c r="B256" i="39"/>
  <c r="E13" i="14"/>
  <c r="F13" i="14"/>
  <c r="G13" i="14"/>
  <c r="H13" i="14"/>
  <c r="I13" i="14"/>
  <c r="J13" i="14"/>
  <c r="K13" i="14"/>
  <c r="L13" i="14"/>
  <c r="M13" i="14"/>
  <c r="N13" i="14"/>
  <c r="O13" i="14"/>
  <c r="P13" i="14"/>
  <c r="E14" i="14"/>
  <c r="F14" i="14"/>
  <c r="G14" i="14"/>
  <c r="H14" i="14"/>
  <c r="I14" i="14"/>
  <c r="J14" i="14"/>
  <c r="K14" i="14"/>
  <c r="L14" i="14"/>
  <c r="M14" i="14"/>
  <c r="N14" i="14"/>
  <c r="O14" i="14"/>
  <c r="P14" i="14"/>
  <c r="F15" i="14"/>
  <c r="H15" i="14"/>
  <c r="L15" i="14"/>
  <c r="M15" i="14"/>
  <c r="N15" i="14"/>
  <c r="P15" i="14"/>
  <c r="H16" i="14"/>
  <c r="L16" i="14"/>
  <c r="M16" i="14"/>
  <c r="N16" i="14"/>
  <c r="P16" i="14"/>
  <c r="E17" i="14"/>
  <c r="F17" i="14"/>
  <c r="H17" i="14"/>
  <c r="I17" i="14"/>
  <c r="J17" i="14"/>
  <c r="L17" i="14"/>
  <c r="M17" i="14"/>
  <c r="N17" i="14"/>
  <c r="P17" i="14"/>
  <c r="H18" i="14"/>
  <c r="L18" i="14"/>
  <c r="M18" i="14"/>
  <c r="N18" i="14"/>
  <c r="P18" i="14"/>
  <c r="H19" i="14"/>
  <c r="L19" i="14"/>
  <c r="M19" i="14"/>
  <c r="N19" i="14"/>
  <c r="P19" i="14"/>
  <c r="E20" i="14"/>
  <c r="F20" i="14"/>
  <c r="G20" i="14"/>
  <c r="H20" i="14"/>
  <c r="I20" i="14"/>
  <c r="J20" i="14"/>
  <c r="K20" i="14"/>
  <c r="L20" i="14"/>
  <c r="M20" i="14"/>
  <c r="N20" i="14"/>
  <c r="O20" i="14"/>
  <c r="P20" i="14"/>
  <c r="E21" i="14"/>
  <c r="F21" i="14"/>
  <c r="G21" i="14"/>
  <c r="H21" i="14"/>
  <c r="I21" i="14"/>
  <c r="J21" i="14"/>
  <c r="K21" i="14"/>
  <c r="L21" i="14"/>
  <c r="M21" i="14"/>
  <c r="N21" i="14"/>
  <c r="O21" i="14"/>
  <c r="P21" i="14"/>
  <c r="H22" i="14"/>
  <c r="L22" i="14"/>
  <c r="M22" i="14"/>
  <c r="N22" i="14"/>
  <c r="O22" i="14"/>
  <c r="P22" i="14"/>
  <c r="H23" i="14"/>
  <c r="L23" i="14"/>
  <c r="M23" i="14"/>
  <c r="N23" i="14"/>
  <c r="O23" i="14"/>
  <c r="P23" i="14"/>
  <c r="E24" i="14"/>
  <c r="N24" i="14"/>
  <c r="E25" i="14"/>
  <c r="F25" i="14"/>
  <c r="H25" i="14"/>
  <c r="I25" i="14"/>
  <c r="J25" i="14"/>
  <c r="L25" i="14"/>
  <c r="M25" i="14"/>
  <c r="N25" i="14"/>
  <c r="P25" i="14"/>
  <c r="E33" i="14"/>
  <c r="F33" i="14"/>
  <c r="G33" i="14"/>
  <c r="H33" i="14"/>
  <c r="I33" i="14"/>
  <c r="J33" i="14"/>
  <c r="K33" i="14"/>
  <c r="L33" i="14"/>
  <c r="M33" i="14"/>
  <c r="N33" i="14"/>
  <c r="O33" i="14"/>
  <c r="P33" i="14"/>
  <c r="R16" i="1"/>
  <c r="T16" i="1"/>
  <c r="V16" i="1"/>
  <c r="G17" i="1"/>
  <c r="H17" i="1"/>
  <c r="I17" i="1"/>
  <c r="K17" i="1"/>
  <c r="L17" i="1"/>
  <c r="M17" i="1"/>
  <c r="O17" i="1"/>
  <c r="P17" i="1"/>
  <c r="F18" i="1"/>
  <c r="G18" i="1"/>
  <c r="H18" i="1"/>
  <c r="I18" i="1"/>
  <c r="K18" i="1"/>
  <c r="L18" i="1"/>
  <c r="M18" i="1"/>
  <c r="O18" i="1"/>
  <c r="P18" i="1"/>
  <c r="E19" i="1"/>
  <c r="R19" i="1"/>
  <c r="J19" i="1"/>
  <c r="T19" i="1"/>
  <c r="V19" i="1"/>
  <c r="E20" i="1"/>
  <c r="R20" i="1"/>
  <c r="J20" i="1"/>
  <c r="T20" i="1"/>
  <c r="V20" i="1"/>
  <c r="E21" i="1"/>
  <c r="R21" i="1"/>
  <c r="J21" i="1"/>
  <c r="E22" i="1"/>
  <c r="R22" i="1"/>
  <c r="F17" i="1"/>
  <c r="J22" i="1"/>
  <c r="T22" i="1"/>
  <c r="V22" i="1"/>
  <c r="E23" i="1"/>
  <c r="R23" i="1"/>
  <c r="J23" i="1"/>
  <c r="T23" i="1"/>
  <c r="V23" i="1"/>
  <c r="E24" i="1"/>
  <c r="R24" i="1"/>
  <c r="J24" i="1"/>
  <c r="Q24" i="1"/>
  <c r="T24" i="1"/>
  <c r="V24" i="1"/>
  <c r="E25" i="1"/>
  <c r="R25" i="1"/>
  <c r="J25" i="1"/>
  <c r="T25" i="1"/>
  <c r="V25" i="1"/>
  <c r="E26" i="1"/>
  <c r="R26" i="1"/>
  <c r="J26" i="1"/>
  <c r="T26" i="1"/>
  <c r="V26" i="1"/>
  <c r="E27" i="1"/>
  <c r="R27" i="1"/>
  <c r="J27" i="1"/>
  <c r="T27" i="1"/>
  <c r="V27" i="1"/>
  <c r="E28" i="1"/>
  <c r="R28" i="1"/>
  <c r="J28" i="1"/>
  <c r="T28" i="1"/>
  <c r="E29" i="1"/>
  <c r="R29" i="1"/>
  <c r="J29" i="1"/>
  <c r="Q29" i="1"/>
  <c r="T29" i="1"/>
  <c r="V29" i="1"/>
  <c r="F30" i="1"/>
  <c r="G30" i="1"/>
  <c r="H30" i="1"/>
  <c r="I30" i="1"/>
  <c r="K30" i="1"/>
  <c r="L30" i="1"/>
  <c r="M30" i="1"/>
  <c r="N30" i="1"/>
  <c r="O30" i="1"/>
  <c r="P30" i="1"/>
  <c r="F31" i="1"/>
  <c r="G31" i="1"/>
  <c r="H31" i="1"/>
  <c r="I31" i="1"/>
  <c r="K31" i="1"/>
  <c r="L31" i="1"/>
  <c r="M31" i="1"/>
  <c r="N31" i="1"/>
  <c r="O31" i="1"/>
  <c r="V31" i="1"/>
  <c r="P31" i="1"/>
  <c r="E32" i="1"/>
  <c r="R32" i="1"/>
  <c r="J32" i="1"/>
  <c r="T32" i="1"/>
  <c r="V32" i="1"/>
  <c r="E33" i="1"/>
  <c r="R33" i="1"/>
  <c r="J33" i="1"/>
  <c r="T33" i="1"/>
  <c r="V33" i="1"/>
  <c r="E34" i="1"/>
  <c r="R34" i="1"/>
  <c r="J34" i="1"/>
  <c r="T34" i="1"/>
  <c r="V34" i="1"/>
  <c r="E35" i="1"/>
  <c r="R35" i="1"/>
  <c r="J35" i="1"/>
  <c r="T35" i="1"/>
  <c r="V35" i="1"/>
  <c r="E39" i="1"/>
  <c r="R39" i="1"/>
  <c r="J39" i="1"/>
  <c r="E40" i="1"/>
  <c r="R40" i="1"/>
  <c r="J40" i="1"/>
  <c r="E41" i="1"/>
  <c r="R41" i="1"/>
  <c r="J41" i="1"/>
  <c r="F42" i="1"/>
  <c r="G42" i="1"/>
  <c r="H42" i="1"/>
  <c r="I42" i="1"/>
  <c r="K42" i="1"/>
  <c r="L42" i="1"/>
  <c r="M42" i="1"/>
  <c r="N42" i="1"/>
  <c r="O42" i="1"/>
  <c r="P42" i="1"/>
  <c r="E43" i="1"/>
  <c r="R43" i="1"/>
  <c r="J43" i="1"/>
  <c r="E44" i="1"/>
  <c r="R44" i="1"/>
  <c r="J44" i="1"/>
  <c r="E45" i="1"/>
  <c r="R45" i="1"/>
  <c r="J45" i="1"/>
  <c r="F46" i="1"/>
  <c r="K46" i="1"/>
  <c r="J46" i="1"/>
  <c r="E47" i="1"/>
  <c r="R47" i="1"/>
  <c r="J47" i="1"/>
  <c r="E50" i="1"/>
  <c r="R50" i="1"/>
  <c r="J50" i="1"/>
  <c r="E51" i="1"/>
  <c r="R51" i="1"/>
  <c r="J51" i="1"/>
  <c r="E52" i="1"/>
  <c r="R52" i="1"/>
  <c r="J52" i="1"/>
  <c r="T52" i="1"/>
  <c r="V52" i="1"/>
  <c r="J54" i="1"/>
  <c r="E55" i="1"/>
  <c r="R55" i="1"/>
  <c r="J55" i="1"/>
  <c r="J57" i="1"/>
  <c r="E58" i="1"/>
  <c r="R58" i="1"/>
  <c r="J58" i="1"/>
  <c r="E59" i="1"/>
  <c r="R59" i="1"/>
  <c r="J59" i="1"/>
  <c r="T59" i="1"/>
  <c r="V59" i="1"/>
  <c r="F60" i="1"/>
  <c r="G60" i="1"/>
  <c r="H60" i="1"/>
  <c r="I60" i="1"/>
  <c r="K60" i="1"/>
  <c r="L60" i="1"/>
  <c r="M60" i="1"/>
  <c r="N60" i="1"/>
  <c r="O60" i="1"/>
  <c r="V60" i="1"/>
  <c r="P60" i="1"/>
  <c r="E61" i="1"/>
  <c r="J61" i="1"/>
  <c r="J37" i="1"/>
  <c r="F62" i="1"/>
  <c r="G62" i="1"/>
  <c r="H62" i="1"/>
  <c r="I62" i="1"/>
  <c r="K62" i="1"/>
  <c r="L62" i="1"/>
  <c r="M62" i="1"/>
  <c r="N62" i="1"/>
  <c r="O62" i="1"/>
  <c r="P62" i="1"/>
  <c r="E63" i="1"/>
  <c r="R63" i="1"/>
  <c r="J63" i="1"/>
  <c r="E64" i="1"/>
  <c r="R64" i="1"/>
  <c r="F64" i="1"/>
  <c r="J64" i="1"/>
  <c r="E66" i="1"/>
  <c r="J66" i="1"/>
  <c r="Q66" i="1"/>
  <c r="E67" i="1"/>
  <c r="R67" i="1"/>
  <c r="J67" i="1"/>
  <c r="H68" i="1"/>
  <c r="I68" i="1"/>
  <c r="K68" i="1"/>
  <c r="L68" i="1"/>
  <c r="M68" i="1"/>
  <c r="N68" i="1"/>
  <c r="O68" i="1"/>
  <c r="P68" i="1"/>
  <c r="E69" i="1"/>
  <c r="R69" i="1"/>
  <c r="J69" i="1"/>
  <c r="J73" i="1"/>
  <c r="R73" i="1"/>
  <c r="Q73" i="1"/>
  <c r="E74" i="1"/>
  <c r="R74" i="1"/>
  <c r="J74" i="1"/>
  <c r="T74" i="1"/>
  <c r="V74" i="1"/>
  <c r="E75" i="1"/>
  <c r="R75" i="1"/>
  <c r="J75" i="1"/>
  <c r="T75" i="1"/>
  <c r="V75" i="1"/>
  <c r="E76" i="1"/>
  <c r="R76" i="1"/>
  <c r="I76" i="1"/>
  <c r="J76" i="1"/>
  <c r="T76" i="1"/>
  <c r="V76" i="1"/>
  <c r="E77" i="1"/>
  <c r="R77" i="1"/>
  <c r="J77" i="1"/>
  <c r="T77" i="1"/>
  <c r="V77" i="1"/>
  <c r="E78" i="1"/>
  <c r="R78" i="1"/>
  <c r="J78" i="1"/>
  <c r="T78" i="1"/>
  <c r="V78" i="1"/>
  <c r="E79" i="1"/>
  <c r="R79" i="1"/>
  <c r="J79" i="1"/>
  <c r="T79" i="1"/>
  <c r="V79" i="1"/>
  <c r="E80" i="1"/>
  <c r="R80" i="1"/>
  <c r="J80" i="1"/>
  <c r="E81" i="1"/>
  <c r="R81" i="1"/>
  <c r="J81" i="1"/>
  <c r="Q81" i="1"/>
  <c r="T81" i="1"/>
  <c r="V81" i="1"/>
  <c r="E82" i="1"/>
  <c r="R82" i="1"/>
  <c r="J82" i="1"/>
  <c r="K23" i="31"/>
  <c r="G84" i="1"/>
  <c r="H84" i="1"/>
  <c r="I84" i="1"/>
  <c r="K84" i="1"/>
  <c r="L84" i="1"/>
  <c r="M84" i="1"/>
  <c r="F86" i="1"/>
  <c r="G86" i="1"/>
  <c r="H86" i="1"/>
  <c r="H83" i="1"/>
  <c r="I86" i="1"/>
  <c r="I83" i="1"/>
  <c r="K86" i="1"/>
  <c r="K83" i="1"/>
  <c r="L86" i="1"/>
  <c r="M86" i="1"/>
  <c r="M83" i="1"/>
  <c r="N86" i="1"/>
  <c r="O86" i="1"/>
  <c r="P86" i="1"/>
  <c r="P83" i="1"/>
  <c r="E87" i="1"/>
  <c r="R87" i="1"/>
  <c r="J87" i="1"/>
  <c r="E88" i="1"/>
  <c r="R88" i="1"/>
  <c r="J88" i="1"/>
  <c r="E89" i="1"/>
  <c r="R89" i="1"/>
  <c r="J89" i="1"/>
  <c r="E90" i="1"/>
  <c r="R90" i="1"/>
  <c r="J90" i="1"/>
  <c r="T90" i="1"/>
  <c r="V90" i="1"/>
  <c r="E91" i="1"/>
  <c r="R91" i="1"/>
  <c r="J91" i="1"/>
  <c r="T91" i="1"/>
  <c r="V91" i="1"/>
  <c r="E92" i="1"/>
  <c r="R92" i="1"/>
  <c r="J92" i="1"/>
  <c r="T92" i="1"/>
  <c r="J93" i="1"/>
  <c r="M60" i="22"/>
  <c r="T93" i="1"/>
  <c r="V93" i="1"/>
  <c r="E94" i="1"/>
  <c r="R94" i="1"/>
  <c r="J94" i="1"/>
  <c r="T94" i="1"/>
  <c r="V94" i="1"/>
  <c r="E95" i="1"/>
  <c r="R95" i="1"/>
  <c r="S95" i="1"/>
  <c r="J95" i="1"/>
  <c r="T95" i="1"/>
  <c r="V95" i="1"/>
  <c r="E96" i="1"/>
  <c r="R96" i="1"/>
  <c r="J96" i="1"/>
  <c r="T96" i="1"/>
  <c r="V96" i="1"/>
  <c r="E97" i="1"/>
  <c r="R97" i="1"/>
  <c r="S97" i="1"/>
  <c r="J97" i="1"/>
  <c r="T97" i="1"/>
  <c r="V97" i="1"/>
  <c r="E98" i="1"/>
  <c r="R98" i="1"/>
  <c r="S98" i="1"/>
  <c r="J98" i="1"/>
  <c r="T98" i="1"/>
  <c r="V98" i="1"/>
  <c r="J99" i="1"/>
  <c r="T99" i="1"/>
  <c r="V99" i="1"/>
  <c r="E100" i="1"/>
  <c r="Q100" i="1"/>
  <c r="J100" i="1"/>
  <c r="T100" i="1"/>
  <c r="V100" i="1"/>
  <c r="E101" i="1"/>
  <c r="R101" i="1"/>
  <c r="J101" i="1"/>
  <c r="T101" i="1"/>
  <c r="V101" i="1"/>
  <c r="E102" i="1"/>
  <c r="R102" i="1"/>
  <c r="J102" i="1"/>
  <c r="T102" i="1"/>
  <c r="V102" i="1"/>
  <c r="E103" i="1"/>
  <c r="R103" i="1"/>
  <c r="J103" i="1"/>
  <c r="T103" i="1"/>
  <c r="V103" i="1"/>
  <c r="E104" i="1"/>
  <c r="R104" i="1"/>
  <c r="J104" i="1"/>
  <c r="T104" i="1"/>
  <c r="V104" i="1"/>
  <c r="E105" i="1"/>
  <c r="R105" i="1"/>
  <c r="J105" i="1"/>
  <c r="N105" i="1"/>
  <c r="N84" i="1"/>
  <c r="O105" i="1"/>
  <c r="P105" i="1"/>
  <c r="T105" i="1"/>
  <c r="V105" i="1"/>
  <c r="E106" i="1"/>
  <c r="J106" i="1"/>
  <c r="Q106" i="1"/>
  <c r="T106" i="1"/>
  <c r="V106" i="1"/>
  <c r="J107" i="1"/>
  <c r="R107" i="1"/>
  <c r="T107" i="1"/>
  <c r="J108" i="1"/>
  <c r="R108" i="1"/>
  <c r="T108" i="1"/>
  <c r="E109" i="1"/>
  <c r="J109" i="1"/>
  <c r="K25" i="15"/>
  <c r="N25" i="15"/>
  <c r="O84" i="1"/>
  <c r="P109" i="1"/>
  <c r="V109" i="1"/>
  <c r="E110" i="1"/>
  <c r="R110" i="1"/>
  <c r="N110" i="1"/>
  <c r="J110" i="1"/>
  <c r="O110" i="1"/>
  <c r="T109" i="1"/>
  <c r="T110" i="1"/>
  <c r="V110" i="1"/>
  <c r="E112" i="1"/>
  <c r="J112" i="1"/>
  <c r="Q112" i="1"/>
  <c r="T112" i="1"/>
  <c r="V112" i="1"/>
  <c r="E113" i="1"/>
  <c r="J113" i="1"/>
  <c r="Q113" i="1"/>
  <c r="T113" i="1"/>
  <c r="V113" i="1"/>
  <c r="E114" i="1"/>
  <c r="J114" i="1"/>
  <c r="Q114" i="1"/>
  <c r="E115" i="1"/>
  <c r="R115" i="1"/>
  <c r="J115" i="1"/>
  <c r="T115" i="1"/>
  <c r="E116" i="1"/>
  <c r="R116" i="1"/>
  <c r="F116" i="1"/>
  <c r="J116" i="1"/>
  <c r="T116" i="1"/>
  <c r="V116" i="1"/>
  <c r="E117" i="1"/>
  <c r="R117" i="1"/>
  <c r="J117" i="1"/>
  <c r="T117" i="1"/>
  <c r="V117" i="1"/>
  <c r="E118" i="1"/>
  <c r="R118" i="1"/>
  <c r="J118" i="1"/>
  <c r="G119" i="1"/>
  <c r="I119" i="1"/>
  <c r="M119" i="1"/>
  <c r="N119" i="1"/>
  <c r="H120" i="1"/>
  <c r="I120" i="1"/>
  <c r="I326" i="1"/>
  <c r="I328" i="1"/>
  <c r="K120" i="1"/>
  <c r="M120" i="1"/>
  <c r="N120" i="1"/>
  <c r="O120" i="1"/>
  <c r="V119" i="1"/>
  <c r="T120" i="1"/>
  <c r="V120" i="1"/>
  <c r="E121" i="1"/>
  <c r="J121" i="1"/>
  <c r="Q121" i="1"/>
  <c r="T121" i="1"/>
  <c r="V121" i="1"/>
  <c r="E122" i="1"/>
  <c r="J122" i="1"/>
  <c r="T122" i="1"/>
  <c r="V122" i="1"/>
  <c r="E123" i="1"/>
  <c r="J123" i="1"/>
  <c r="Q123" i="1"/>
  <c r="T123" i="1"/>
  <c r="V123" i="1"/>
  <c r="E124" i="1"/>
  <c r="J124" i="1"/>
  <c r="Q124" i="1"/>
  <c r="T124" i="1"/>
  <c r="V124" i="1"/>
  <c r="E125" i="1"/>
  <c r="J125" i="1"/>
  <c r="Q125" i="1"/>
  <c r="T125" i="1"/>
  <c r="V125" i="1"/>
  <c r="E126" i="1"/>
  <c r="J126" i="1"/>
  <c r="V126" i="1"/>
  <c r="E127" i="1"/>
  <c r="F127" i="1"/>
  <c r="G127" i="1"/>
  <c r="G120" i="1"/>
  <c r="H127" i="1"/>
  <c r="H119" i="1"/>
  <c r="J127" i="1"/>
  <c r="Q127" i="1"/>
  <c r="K127" i="1"/>
  <c r="K119" i="1"/>
  <c r="L127" i="1"/>
  <c r="M127" i="1"/>
  <c r="N127" i="1"/>
  <c r="O127" i="1"/>
  <c r="O119" i="1"/>
  <c r="V118" i="1"/>
  <c r="P127" i="1"/>
  <c r="T127" i="1"/>
  <c r="V127" i="1"/>
  <c r="E128" i="1"/>
  <c r="J128" i="1"/>
  <c r="T128" i="1"/>
  <c r="V128" i="1"/>
  <c r="E129" i="1"/>
  <c r="J129" i="1"/>
  <c r="Q129" i="1"/>
  <c r="T129" i="1"/>
  <c r="V129" i="1"/>
  <c r="E130" i="1"/>
  <c r="J130" i="1"/>
  <c r="T130" i="1"/>
  <c r="V130" i="1"/>
  <c r="E131" i="1"/>
  <c r="J131" i="1"/>
  <c r="Q131" i="1"/>
  <c r="T131" i="1"/>
  <c r="V131" i="1"/>
  <c r="E132" i="1"/>
  <c r="J132" i="1"/>
  <c r="Q132" i="1"/>
  <c r="T132" i="1"/>
  <c r="V132" i="1"/>
  <c r="E133" i="1"/>
  <c r="J133" i="1"/>
  <c r="Q133" i="1"/>
  <c r="T133" i="1"/>
  <c r="V133" i="1"/>
  <c r="E134" i="1"/>
  <c r="J134" i="1"/>
  <c r="T134" i="1"/>
  <c r="V134" i="1"/>
  <c r="E135" i="1"/>
  <c r="J135" i="1"/>
  <c r="T135" i="1"/>
  <c r="V135" i="1"/>
  <c r="E136" i="1"/>
  <c r="J136" i="1"/>
  <c r="Q136" i="1"/>
  <c r="T136" i="1"/>
  <c r="V136" i="1"/>
  <c r="E137" i="1"/>
  <c r="J137" i="1"/>
  <c r="Q137" i="1"/>
  <c r="T137" i="1"/>
  <c r="V137" i="1"/>
  <c r="J138" i="1"/>
  <c r="T138" i="1"/>
  <c r="V138" i="1"/>
  <c r="E139" i="1"/>
  <c r="R139" i="1"/>
  <c r="J139" i="1"/>
  <c r="T139" i="1"/>
  <c r="V139" i="1"/>
  <c r="E140" i="1"/>
  <c r="R140" i="1"/>
  <c r="J140" i="1"/>
  <c r="T140" i="1"/>
  <c r="V140" i="1"/>
  <c r="J141" i="1"/>
  <c r="R141" i="1"/>
  <c r="T141" i="1"/>
  <c r="V141" i="1"/>
  <c r="E142" i="1"/>
  <c r="R142" i="1"/>
  <c r="J142" i="1"/>
  <c r="T142" i="1"/>
  <c r="V142" i="1"/>
  <c r="E143" i="1"/>
  <c r="R143" i="1"/>
  <c r="J143" i="1"/>
  <c r="T143" i="1"/>
  <c r="V143" i="1"/>
  <c r="E144" i="1"/>
  <c r="R144" i="1"/>
  <c r="J144" i="1"/>
  <c r="T144" i="1"/>
  <c r="V144" i="1"/>
  <c r="E145" i="1"/>
  <c r="R145" i="1"/>
  <c r="J145" i="1"/>
  <c r="T145" i="1"/>
  <c r="V145" i="1"/>
  <c r="E146" i="1"/>
  <c r="R146" i="1"/>
  <c r="S145" i="1"/>
  <c r="J146" i="1"/>
  <c r="T146" i="1"/>
  <c r="V146" i="1"/>
  <c r="E147" i="1"/>
  <c r="N633" i="40"/>
  <c r="J147" i="1"/>
  <c r="T147" i="1"/>
  <c r="V147" i="1"/>
  <c r="E148" i="1"/>
  <c r="R148" i="1"/>
  <c r="S147" i="1"/>
  <c r="J148" i="1"/>
  <c r="T148" i="1"/>
  <c r="V148" i="1"/>
  <c r="E149" i="1"/>
  <c r="J149" i="1"/>
  <c r="T149" i="1"/>
  <c r="V149" i="1"/>
  <c r="E150" i="1"/>
  <c r="J150" i="1"/>
  <c r="T150" i="1"/>
  <c r="V150" i="1"/>
  <c r="E151" i="1"/>
  <c r="J151" i="1"/>
  <c r="T151" i="1"/>
  <c r="V151" i="1"/>
  <c r="E152" i="1"/>
  <c r="R152" i="1"/>
  <c r="J152" i="1"/>
  <c r="G153" i="1"/>
  <c r="H153" i="1"/>
  <c r="I153" i="1"/>
  <c r="K153" i="1"/>
  <c r="L153" i="1"/>
  <c r="M153" i="1"/>
  <c r="N153" i="1"/>
  <c r="O153" i="1"/>
  <c r="P153" i="1"/>
  <c r="G154" i="1"/>
  <c r="H154" i="1"/>
  <c r="I154" i="1"/>
  <c r="K154" i="1"/>
  <c r="L154" i="1"/>
  <c r="M154" i="1"/>
  <c r="N154" i="1"/>
  <c r="O154" i="1"/>
  <c r="P154" i="1"/>
  <c r="T154" i="1"/>
  <c r="V154" i="1"/>
  <c r="E155" i="1"/>
  <c r="R155" i="1"/>
  <c r="J155" i="1"/>
  <c r="T155" i="1"/>
  <c r="V155" i="1"/>
  <c r="E156" i="1"/>
  <c r="R156" i="1"/>
  <c r="J156" i="1"/>
  <c r="T156" i="1"/>
  <c r="V156" i="1"/>
  <c r="J157" i="1"/>
  <c r="T157" i="1"/>
  <c r="V157" i="1"/>
  <c r="E158" i="1"/>
  <c r="R158" i="1"/>
  <c r="J158" i="1"/>
  <c r="T158" i="1"/>
  <c r="V158" i="1"/>
  <c r="E159" i="1"/>
  <c r="R159" i="1"/>
  <c r="J159" i="1"/>
  <c r="F161" i="1"/>
  <c r="G162" i="1"/>
  <c r="G160" i="1"/>
  <c r="H162" i="1"/>
  <c r="I162" i="1"/>
  <c r="I161" i="1"/>
  <c r="K162" i="1"/>
  <c r="K161" i="1"/>
  <c r="L162" i="1"/>
  <c r="M162" i="1"/>
  <c r="M161" i="1"/>
  <c r="N162" i="1"/>
  <c r="N160" i="1"/>
  <c r="O162" i="1"/>
  <c r="P162" i="1"/>
  <c r="P161" i="1"/>
  <c r="T162" i="1"/>
  <c r="V162" i="1"/>
  <c r="E163" i="1"/>
  <c r="R163" i="1"/>
  <c r="J163" i="1"/>
  <c r="E164" i="1"/>
  <c r="J164" i="1"/>
  <c r="E165" i="1"/>
  <c r="R165" i="1"/>
  <c r="J165" i="1"/>
  <c r="T165" i="1"/>
  <c r="V165" i="1"/>
  <c r="E166" i="1"/>
  <c r="R166" i="1"/>
  <c r="J166" i="1"/>
  <c r="Q166" i="1"/>
  <c r="S165" i="1"/>
  <c r="T166" i="1"/>
  <c r="V166" i="1"/>
  <c r="E167" i="1"/>
  <c r="R167" i="1"/>
  <c r="J167" i="1"/>
  <c r="T167" i="1"/>
  <c r="V167" i="1"/>
  <c r="E168" i="1"/>
  <c r="R168" i="1"/>
  <c r="J168" i="1"/>
  <c r="T168" i="1"/>
  <c r="V168" i="1"/>
  <c r="E169" i="1"/>
  <c r="R169" i="1"/>
  <c r="J169" i="1"/>
  <c r="T169" i="1"/>
  <c r="V169" i="1"/>
  <c r="E170" i="1"/>
  <c r="R170" i="1"/>
  <c r="J170" i="1"/>
  <c r="T170" i="1"/>
  <c r="V170" i="1"/>
  <c r="E171" i="1"/>
  <c r="R171" i="1"/>
  <c r="J171" i="1"/>
  <c r="T171" i="1"/>
  <c r="V171" i="1"/>
  <c r="E172" i="1"/>
  <c r="R172" i="1"/>
  <c r="J172" i="1"/>
  <c r="T172" i="1"/>
  <c r="V172" i="1"/>
  <c r="E173" i="1"/>
  <c r="R173" i="1"/>
  <c r="J173" i="1"/>
  <c r="T173" i="1"/>
  <c r="V173" i="1"/>
  <c r="E174" i="1"/>
  <c r="R174" i="1"/>
  <c r="J174" i="1"/>
  <c r="T174" i="1"/>
  <c r="V174" i="1"/>
  <c r="E175" i="1"/>
  <c r="R175" i="1"/>
  <c r="J175" i="1"/>
  <c r="T175" i="1"/>
  <c r="V175" i="1"/>
  <c r="E176" i="1"/>
  <c r="R176" i="1"/>
  <c r="J176" i="1"/>
  <c r="T176" i="1"/>
  <c r="V176" i="1"/>
  <c r="E177" i="1"/>
  <c r="R177" i="1"/>
  <c r="J177" i="1"/>
  <c r="T177" i="1"/>
  <c r="V177" i="1"/>
  <c r="E178" i="1"/>
  <c r="R178" i="1"/>
  <c r="G178" i="1"/>
  <c r="J178" i="1"/>
  <c r="T178" i="1"/>
  <c r="V178" i="1"/>
  <c r="E179" i="1"/>
  <c r="R179" i="1"/>
  <c r="J179" i="1"/>
  <c r="T179" i="1"/>
  <c r="V179" i="1"/>
  <c r="E180" i="1"/>
  <c r="R180" i="1"/>
  <c r="J180" i="1"/>
  <c r="T180" i="1"/>
  <c r="V180" i="1"/>
  <c r="E181" i="1"/>
  <c r="R181" i="1"/>
  <c r="S180" i="1"/>
  <c r="J181" i="1"/>
  <c r="T181" i="1"/>
  <c r="V181" i="1"/>
  <c r="E182" i="1"/>
  <c r="R182" i="1"/>
  <c r="S181" i="1"/>
  <c r="J182" i="1"/>
  <c r="T182" i="1"/>
  <c r="V182" i="1"/>
  <c r="E183" i="1"/>
  <c r="R183" i="1"/>
  <c r="J183" i="1"/>
  <c r="T183" i="1"/>
  <c r="V183" i="1"/>
  <c r="J184" i="1"/>
  <c r="T184" i="1"/>
  <c r="V184" i="1"/>
  <c r="E185" i="1"/>
  <c r="R185" i="1"/>
  <c r="J185" i="1"/>
  <c r="T185" i="1"/>
  <c r="V185" i="1"/>
  <c r="E186" i="1"/>
  <c r="R186" i="1"/>
  <c r="J186" i="1"/>
  <c r="T186" i="1"/>
  <c r="V186" i="1"/>
  <c r="E187" i="1"/>
  <c r="R187" i="1"/>
  <c r="J187" i="1"/>
  <c r="T187" i="1"/>
  <c r="V187" i="1"/>
  <c r="E188" i="1"/>
  <c r="R188" i="1"/>
  <c r="J188" i="1"/>
  <c r="T188" i="1"/>
  <c r="V188" i="1"/>
  <c r="E189" i="1"/>
  <c r="R189" i="1"/>
  <c r="J189" i="1"/>
  <c r="T189" i="1"/>
  <c r="V189" i="1"/>
  <c r="E190" i="1"/>
  <c r="R190" i="1"/>
  <c r="J190" i="1"/>
  <c r="T190" i="1"/>
  <c r="V190" i="1"/>
  <c r="E191" i="1"/>
  <c r="R191" i="1"/>
  <c r="J191" i="1"/>
  <c r="T191" i="1"/>
  <c r="V191" i="1"/>
  <c r="E192" i="1"/>
  <c r="R192" i="1"/>
  <c r="G192" i="1"/>
  <c r="J192" i="1"/>
  <c r="T192" i="1"/>
  <c r="V192" i="1"/>
  <c r="E193" i="1"/>
  <c r="R193" i="1"/>
  <c r="J193" i="1"/>
  <c r="K193" i="1"/>
  <c r="T193" i="1"/>
  <c r="V193" i="1"/>
  <c r="E194" i="1"/>
  <c r="R194" i="1"/>
  <c r="J194" i="1"/>
  <c r="T194" i="1"/>
  <c r="V194" i="1"/>
  <c r="E195" i="1"/>
  <c r="R195" i="1"/>
  <c r="J195" i="1"/>
  <c r="T195" i="1"/>
  <c r="V195" i="1"/>
  <c r="E196" i="1"/>
  <c r="R196" i="1"/>
  <c r="J196" i="1"/>
  <c r="T196" i="1"/>
  <c r="V196" i="1"/>
  <c r="E197" i="1"/>
  <c r="R197" i="1"/>
  <c r="J197" i="1"/>
  <c r="T197" i="1"/>
  <c r="V197" i="1"/>
  <c r="E198" i="1"/>
  <c r="R198" i="1"/>
  <c r="J198" i="1"/>
  <c r="T198" i="1"/>
  <c r="V198" i="1"/>
  <c r="E199" i="1"/>
  <c r="R199" i="1"/>
  <c r="J199" i="1"/>
  <c r="T199" i="1"/>
  <c r="V199" i="1"/>
  <c r="E200" i="1"/>
  <c r="R200" i="1"/>
  <c r="J200" i="1"/>
  <c r="T200" i="1"/>
  <c r="V200" i="1"/>
  <c r="E201" i="1"/>
  <c r="R201" i="1"/>
  <c r="J201" i="1"/>
  <c r="T201" i="1"/>
  <c r="V201" i="1"/>
  <c r="E202" i="1"/>
  <c r="R202" i="1"/>
  <c r="J202" i="1"/>
  <c r="T202" i="1"/>
  <c r="V202" i="1"/>
  <c r="E203" i="1"/>
  <c r="R203" i="1"/>
  <c r="J203" i="1"/>
  <c r="T203" i="1"/>
  <c r="E204" i="1"/>
  <c r="R204" i="1"/>
  <c r="T206" i="1"/>
  <c r="E207" i="1"/>
  <c r="R207" i="1"/>
  <c r="J207" i="1"/>
  <c r="T207" i="1"/>
  <c r="V207" i="1"/>
  <c r="E208" i="1"/>
  <c r="R208" i="1"/>
  <c r="J208" i="1"/>
  <c r="T208" i="1"/>
  <c r="V208" i="1"/>
  <c r="E209" i="1"/>
  <c r="R209" i="1"/>
  <c r="J209" i="1"/>
  <c r="T209" i="1"/>
  <c r="V209" i="1"/>
  <c r="E210" i="1"/>
  <c r="R210" i="1"/>
  <c r="J210" i="1"/>
  <c r="T210" i="1"/>
  <c r="V210" i="1"/>
  <c r="E211" i="1"/>
  <c r="R211" i="1"/>
  <c r="J211" i="1"/>
  <c r="T211" i="1"/>
  <c r="V211" i="1"/>
  <c r="J212" i="1"/>
  <c r="R212" i="1"/>
  <c r="T212" i="1"/>
  <c r="V212" i="1"/>
  <c r="E213" i="1"/>
  <c r="R213" i="1"/>
  <c r="J213" i="1"/>
  <c r="T213" i="1"/>
  <c r="V213" i="1"/>
  <c r="E214" i="1"/>
  <c r="R214" i="1"/>
  <c r="J214" i="1"/>
  <c r="T214" i="1"/>
  <c r="V214" i="1"/>
  <c r="E215" i="1"/>
  <c r="R215" i="1"/>
  <c r="J215" i="1"/>
  <c r="T215" i="1"/>
  <c r="V215" i="1"/>
  <c r="E216" i="1"/>
  <c r="R216" i="1"/>
  <c r="J216" i="1"/>
  <c r="T216" i="1"/>
  <c r="V216" i="1"/>
  <c r="E217" i="1"/>
  <c r="R217" i="1"/>
  <c r="J217" i="1"/>
  <c r="T217" i="1"/>
  <c r="V217" i="1"/>
  <c r="E218" i="1"/>
  <c r="R218" i="1"/>
  <c r="T218" i="1"/>
  <c r="V218" i="1"/>
  <c r="E219" i="1"/>
  <c r="R219" i="1"/>
  <c r="J219" i="1"/>
  <c r="T219" i="1"/>
  <c r="V219" i="1"/>
  <c r="E220" i="1"/>
  <c r="R220" i="1"/>
  <c r="J220" i="1"/>
  <c r="T220" i="1"/>
  <c r="V220" i="1"/>
  <c r="J221" i="1"/>
  <c r="R221" i="1"/>
  <c r="T221" i="1"/>
  <c r="V221" i="1"/>
  <c r="E222" i="1"/>
  <c r="R222" i="1"/>
  <c r="J222" i="1"/>
  <c r="T222" i="1"/>
  <c r="V222" i="1"/>
  <c r="E223" i="1"/>
  <c r="R223" i="1"/>
  <c r="J223" i="1"/>
  <c r="T223" i="1"/>
  <c r="V223" i="1"/>
  <c r="E224" i="1"/>
  <c r="R224" i="1"/>
  <c r="J224" i="1"/>
  <c r="T224" i="1"/>
  <c r="V224" i="1"/>
  <c r="E225" i="1"/>
  <c r="R225" i="1"/>
  <c r="J225" i="1"/>
  <c r="T225" i="1"/>
  <c r="V225" i="1"/>
  <c r="J226" i="1"/>
  <c r="R226" i="1"/>
  <c r="T226" i="1"/>
  <c r="V226" i="1"/>
  <c r="E227" i="1"/>
  <c r="R227" i="1"/>
  <c r="J227" i="1"/>
  <c r="T227" i="1"/>
  <c r="V227" i="1"/>
  <c r="E228" i="1"/>
  <c r="R228" i="1"/>
  <c r="J228" i="1"/>
  <c r="T228" i="1"/>
  <c r="V228" i="1"/>
  <c r="E229" i="1"/>
  <c r="R229" i="1"/>
  <c r="J229" i="1"/>
  <c r="T229" i="1"/>
  <c r="V229" i="1"/>
  <c r="E230" i="1"/>
  <c r="R230" i="1"/>
  <c r="J230" i="1"/>
  <c r="T230" i="1"/>
  <c r="V230" i="1"/>
  <c r="E231" i="1"/>
  <c r="R231" i="1"/>
  <c r="J231" i="1"/>
  <c r="T231" i="1"/>
  <c r="V231" i="1"/>
  <c r="E232" i="1"/>
  <c r="R232" i="1"/>
  <c r="J232" i="1"/>
  <c r="T232" i="1"/>
  <c r="V232" i="1"/>
  <c r="J233" i="1"/>
  <c r="R233" i="1"/>
  <c r="T233" i="1"/>
  <c r="V233" i="1"/>
  <c r="E234" i="1"/>
  <c r="R234" i="1"/>
  <c r="J234" i="1"/>
  <c r="T234" i="1"/>
  <c r="E235" i="1"/>
  <c r="T235" i="1"/>
  <c r="E236" i="1"/>
  <c r="R236" i="1"/>
  <c r="J236" i="1"/>
  <c r="T236" i="1"/>
  <c r="J237" i="1"/>
  <c r="T237" i="1"/>
  <c r="V237" i="1"/>
  <c r="J238" i="1"/>
  <c r="R238" i="1"/>
  <c r="E239" i="1"/>
  <c r="R239" i="1"/>
  <c r="J239" i="1"/>
  <c r="T239" i="1"/>
  <c r="V239" i="1"/>
  <c r="E240" i="1"/>
  <c r="R240" i="1"/>
  <c r="J240" i="1"/>
  <c r="T240" i="1"/>
  <c r="V240" i="1"/>
  <c r="E241" i="1"/>
  <c r="J241" i="1"/>
  <c r="R241" i="1"/>
  <c r="T241" i="1"/>
  <c r="E242" i="1"/>
  <c r="T242" i="1"/>
  <c r="V242" i="1"/>
  <c r="J243" i="1"/>
  <c r="R243" i="1"/>
  <c r="T243" i="1"/>
  <c r="V243" i="1"/>
  <c r="E244" i="1"/>
  <c r="R244" i="1"/>
  <c r="J244" i="1"/>
  <c r="T244" i="1"/>
  <c r="V244" i="1"/>
  <c r="E245" i="1"/>
  <c r="R245" i="1"/>
  <c r="J245" i="1"/>
  <c r="K96" i="15"/>
  <c r="E246" i="1"/>
  <c r="R246" i="1"/>
  <c r="J246" i="1"/>
  <c r="T246" i="1"/>
  <c r="V246" i="1"/>
  <c r="E247" i="1"/>
  <c r="R247" i="1"/>
  <c r="J247" i="1"/>
  <c r="E248" i="1"/>
  <c r="J248" i="1"/>
  <c r="T248" i="1"/>
  <c r="V248" i="1"/>
  <c r="E249" i="1"/>
  <c r="J249" i="1"/>
  <c r="Q249" i="1"/>
  <c r="T249" i="1"/>
  <c r="V249" i="1"/>
  <c r="E250" i="1"/>
  <c r="J250" i="1"/>
  <c r="Q250" i="1"/>
  <c r="T250" i="1"/>
  <c r="V250" i="1"/>
  <c r="E251" i="1"/>
  <c r="J251" i="1"/>
  <c r="Q251" i="1"/>
  <c r="T251" i="1"/>
  <c r="E252" i="1"/>
  <c r="J252" i="1"/>
  <c r="R252" i="1"/>
  <c r="V251" i="1"/>
  <c r="E253" i="1"/>
  <c r="R253" i="1"/>
  <c r="F253" i="1"/>
  <c r="F205" i="1"/>
  <c r="J253" i="1"/>
  <c r="T252" i="1"/>
  <c r="T253" i="1"/>
  <c r="V253" i="1"/>
  <c r="E254" i="1"/>
  <c r="T254" i="1"/>
  <c r="V254" i="1"/>
  <c r="E255" i="1"/>
  <c r="R255" i="1"/>
  <c r="J255" i="1"/>
  <c r="T255" i="1"/>
  <c r="V255" i="1"/>
  <c r="E256" i="1"/>
  <c r="R256" i="1"/>
  <c r="J256" i="1"/>
  <c r="T256" i="1"/>
  <c r="V256" i="1"/>
  <c r="E257" i="1"/>
  <c r="R257" i="1"/>
  <c r="J257" i="1"/>
  <c r="T257" i="1"/>
  <c r="V257" i="1"/>
  <c r="E258" i="1"/>
  <c r="R258" i="1"/>
  <c r="N258" i="1"/>
  <c r="J258" i="1"/>
  <c r="T258" i="1"/>
  <c r="V258" i="1"/>
  <c r="E259" i="1"/>
  <c r="R259" i="1"/>
  <c r="J259" i="1"/>
  <c r="T259" i="1"/>
  <c r="V259" i="1"/>
  <c r="E260" i="1"/>
  <c r="R260" i="1"/>
  <c r="J260" i="1"/>
  <c r="T260" i="1"/>
  <c r="V260" i="1"/>
  <c r="E262" i="1"/>
  <c r="R262" i="1"/>
  <c r="J262" i="1"/>
  <c r="F263" i="1"/>
  <c r="G263" i="1"/>
  <c r="H263" i="1"/>
  <c r="I263" i="1"/>
  <c r="K263" i="1"/>
  <c r="L263" i="1"/>
  <c r="M263" i="1"/>
  <c r="N263" i="1"/>
  <c r="O263" i="1"/>
  <c r="V262" i="1"/>
  <c r="P263" i="1"/>
  <c r="F264" i="1"/>
  <c r="G264" i="1"/>
  <c r="H264" i="1"/>
  <c r="I264" i="1"/>
  <c r="K264" i="1"/>
  <c r="L264" i="1"/>
  <c r="M264" i="1"/>
  <c r="N264" i="1"/>
  <c r="O264" i="1"/>
  <c r="P264" i="1"/>
  <c r="T264" i="1"/>
  <c r="V264" i="1"/>
  <c r="E265" i="1"/>
  <c r="R265" i="1"/>
  <c r="J265" i="1"/>
  <c r="T265" i="1"/>
  <c r="V265" i="1"/>
  <c r="E266" i="1"/>
  <c r="R266" i="1"/>
  <c r="J266" i="1"/>
  <c r="T266" i="1"/>
  <c r="V266" i="1"/>
  <c r="E267" i="1"/>
  <c r="R267" i="1"/>
  <c r="S266" i="1"/>
  <c r="J267" i="1"/>
  <c r="Q267" i="1"/>
  <c r="T267" i="1"/>
  <c r="V267" i="1"/>
  <c r="E268" i="1"/>
  <c r="R268" i="1"/>
  <c r="J268" i="1"/>
  <c r="F269" i="1"/>
  <c r="G269" i="1"/>
  <c r="H269" i="1"/>
  <c r="I269" i="1"/>
  <c r="K269" i="1"/>
  <c r="L269" i="1"/>
  <c r="M269" i="1"/>
  <c r="N269" i="1"/>
  <c r="O269" i="1"/>
  <c r="T268" i="1"/>
  <c r="P269" i="1"/>
  <c r="F270" i="1"/>
  <c r="G270" i="1"/>
  <c r="H270" i="1"/>
  <c r="I270" i="1"/>
  <c r="K270" i="1"/>
  <c r="L270" i="1"/>
  <c r="M270" i="1"/>
  <c r="N270" i="1"/>
  <c r="O270" i="1"/>
  <c r="P270" i="1"/>
  <c r="T270" i="1"/>
  <c r="V270" i="1"/>
  <c r="J271" i="1"/>
  <c r="R271" i="1"/>
  <c r="T271" i="1"/>
  <c r="V271" i="1"/>
  <c r="E272" i="1"/>
  <c r="J272" i="1"/>
  <c r="G273" i="1"/>
  <c r="H273" i="1"/>
  <c r="I273" i="1"/>
  <c r="K273" i="1"/>
  <c r="L273" i="1"/>
  <c r="M273" i="1"/>
  <c r="N273" i="1"/>
  <c r="O273" i="1"/>
  <c r="P273" i="1"/>
  <c r="G274" i="1"/>
  <c r="H274" i="1"/>
  <c r="I274" i="1"/>
  <c r="K274" i="1"/>
  <c r="L274" i="1"/>
  <c r="M274" i="1"/>
  <c r="N274" i="1"/>
  <c r="O274" i="1"/>
  <c r="P274" i="1"/>
  <c r="T273" i="1"/>
  <c r="T274" i="1"/>
  <c r="V274" i="1"/>
  <c r="J275" i="1"/>
  <c r="T275" i="1"/>
  <c r="V275" i="1"/>
  <c r="E276" i="1"/>
  <c r="R276" i="1"/>
  <c r="J276" i="1"/>
  <c r="T276" i="1"/>
  <c r="V276" i="1"/>
  <c r="E277" i="1"/>
  <c r="R277" i="1"/>
  <c r="J277" i="1"/>
  <c r="T277" i="1"/>
  <c r="V277" i="1"/>
  <c r="J278" i="1"/>
  <c r="T278" i="1"/>
  <c r="V278" i="1"/>
  <c r="E279" i="1"/>
  <c r="J279" i="1"/>
  <c r="T279" i="1"/>
  <c r="V279" i="1"/>
  <c r="E280" i="1"/>
  <c r="J280" i="1"/>
  <c r="F281" i="1"/>
  <c r="G281" i="1"/>
  <c r="H281" i="1"/>
  <c r="I281" i="1"/>
  <c r="L281" i="1"/>
  <c r="M281" i="1"/>
  <c r="O281" i="1"/>
  <c r="P281" i="1"/>
  <c r="F282" i="1"/>
  <c r="G282" i="1"/>
  <c r="H282" i="1"/>
  <c r="I282" i="1"/>
  <c r="L282" i="1"/>
  <c r="M282" i="1"/>
  <c r="O282" i="1"/>
  <c r="P282" i="1"/>
  <c r="T282" i="1"/>
  <c r="E283" i="1"/>
  <c r="R283" i="1"/>
  <c r="J283" i="1"/>
  <c r="T283" i="1"/>
  <c r="V283" i="1"/>
  <c r="E284" i="1"/>
  <c r="R284" i="1"/>
  <c r="N284" i="1"/>
  <c r="T284" i="1"/>
  <c r="V284" i="1"/>
  <c r="E285" i="1"/>
  <c r="R285" i="1"/>
  <c r="J285" i="1"/>
  <c r="T285" i="1"/>
  <c r="V285" i="1"/>
  <c r="E286" i="1"/>
  <c r="R286" i="1"/>
  <c r="J286" i="1"/>
  <c r="T286" i="1"/>
  <c r="E287" i="1"/>
  <c r="K287" i="1"/>
  <c r="T287" i="1"/>
  <c r="V287" i="1"/>
  <c r="E288" i="1"/>
  <c r="J288" i="1"/>
  <c r="J282" i="1"/>
  <c r="K288" i="1"/>
  <c r="T288" i="1"/>
  <c r="V288" i="1"/>
  <c r="E289" i="1"/>
  <c r="R289" i="1"/>
  <c r="N289" i="1"/>
  <c r="J289" i="1"/>
  <c r="T289" i="1"/>
  <c r="V289" i="1"/>
  <c r="E290" i="1"/>
  <c r="J290" i="1"/>
  <c r="F291" i="1"/>
  <c r="G291" i="1"/>
  <c r="H291" i="1"/>
  <c r="I291" i="1"/>
  <c r="K291" i="1"/>
  <c r="L291" i="1"/>
  <c r="M291" i="1"/>
  <c r="N291" i="1"/>
  <c r="V290" i="1"/>
  <c r="O291" i="1"/>
  <c r="P291" i="1"/>
  <c r="F292" i="1"/>
  <c r="G292" i="1"/>
  <c r="H292" i="1"/>
  <c r="I292" i="1"/>
  <c r="K292" i="1"/>
  <c r="L292" i="1"/>
  <c r="M292" i="1"/>
  <c r="N292" i="1"/>
  <c r="O292" i="1"/>
  <c r="P292" i="1"/>
  <c r="T292" i="1"/>
  <c r="V292" i="1"/>
  <c r="E293" i="1"/>
  <c r="R293" i="1"/>
  <c r="T293" i="1"/>
  <c r="V293" i="1"/>
  <c r="E294" i="1"/>
  <c r="R294" i="1"/>
  <c r="T294" i="1"/>
  <c r="E295" i="1"/>
  <c r="R295" i="1"/>
  <c r="F296" i="1"/>
  <c r="G296" i="1"/>
  <c r="H296" i="1"/>
  <c r="I296" i="1"/>
  <c r="K296" i="1"/>
  <c r="L296" i="1"/>
  <c r="M296" i="1"/>
  <c r="N296" i="1"/>
  <c r="P296" i="1"/>
  <c r="P314" i="1"/>
  <c r="F297" i="1"/>
  <c r="G297" i="1"/>
  <c r="H297" i="1"/>
  <c r="I297" i="1"/>
  <c r="K297" i="1"/>
  <c r="L297" i="1"/>
  <c r="M297" i="1"/>
  <c r="N297" i="1"/>
  <c r="P297" i="1"/>
  <c r="T296" i="1"/>
  <c r="T297" i="1"/>
  <c r="V297" i="1"/>
  <c r="E298" i="1"/>
  <c r="R298" i="1"/>
  <c r="I298" i="1"/>
  <c r="J298" i="1"/>
  <c r="T298" i="1"/>
  <c r="V298" i="1"/>
  <c r="J299" i="1"/>
  <c r="R299" i="1"/>
  <c r="T299" i="1"/>
  <c r="V299" i="1"/>
  <c r="E300" i="1"/>
  <c r="J300" i="1"/>
  <c r="Q300" i="1"/>
  <c r="T300" i="1"/>
  <c r="V300" i="1"/>
  <c r="E301" i="1"/>
  <c r="J301" i="1"/>
  <c r="Q301" i="1"/>
  <c r="T301" i="1"/>
  <c r="V301" i="1"/>
  <c r="E302" i="1"/>
  <c r="J302" i="1"/>
  <c r="Q302" i="1"/>
  <c r="T302" i="1"/>
  <c r="V302" i="1"/>
  <c r="E303" i="1"/>
  <c r="J303" i="1"/>
  <c r="Q303" i="1"/>
  <c r="T303" i="1"/>
  <c r="V303" i="1"/>
  <c r="E304" i="1"/>
  <c r="J304" i="1"/>
  <c r="Q304" i="1"/>
  <c r="T304" i="1"/>
  <c r="V304" i="1"/>
  <c r="E305" i="1"/>
  <c r="J305" i="1"/>
  <c r="Q305" i="1"/>
  <c r="T305" i="1"/>
  <c r="V305" i="1"/>
  <c r="E306" i="1"/>
  <c r="J306" i="1"/>
  <c r="Q306" i="1"/>
  <c r="T306" i="1"/>
  <c r="V306" i="1"/>
  <c r="E307" i="1"/>
  <c r="J307" i="1"/>
  <c r="Q307" i="1"/>
  <c r="T307" i="1"/>
  <c r="V307" i="1"/>
  <c r="E308" i="1"/>
  <c r="J308" i="1"/>
  <c r="T308" i="1"/>
  <c r="V308" i="1"/>
  <c r="E309" i="1"/>
  <c r="J309" i="1"/>
  <c r="Q309" i="1"/>
  <c r="T309" i="1"/>
  <c r="V309" i="1"/>
  <c r="E310" i="1"/>
  <c r="J310" i="1"/>
  <c r="Q310" i="1"/>
  <c r="T310" i="1"/>
  <c r="V310" i="1"/>
  <c r="E311" i="1"/>
  <c r="J311" i="1"/>
  <c r="T311" i="1"/>
  <c r="V311" i="1"/>
  <c r="E312" i="1"/>
  <c r="E296" i="1"/>
  <c r="J312" i="1"/>
  <c r="E313" i="1"/>
  <c r="J313" i="1"/>
  <c r="V314" i="1"/>
  <c r="C14" i="20"/>
  <c r="D14" i="20"/>
  <c r="E14" i="20"/>
  <c r="F14" i="20"/>
  <c r="C15" i="20"/>
  <c r="D15" i="20"/>
  <c r="E15" i="20"/>
  <c r="F15" i="20"/>
  <c r="C16" i="20"/>
  <c r="D16" i="20"/>
  <c r="C17" i="20"/>
  <c r="D17" i="20"/>
  <c r="C18" i="20"/>
  <c r="D18" i="20"/>
  <c r="E18" i="20"/>
  <c r="F18" i="20"/>
  <c r="C19" i="20"/>
  <c r="C20" i="20"/>
  <c r="D21" i="20"/>
  <c r="D13" i="20"/>
  <c r="D25" i="20"/>
  <c r="E21" i="20"/>
  <c r="E13" i="20"/>
  <c r="F21" i="20"/>
  <c r="F13" i="20"/>
  <c r="C22" i="20"/>
  <c r="H22" i="20"/>
  <c r="I22" i="20"/>
  <c r="J22" i="20"/>
  <c r="C23" i="20"/>
  <c r="C24" i="20"/>
  <c r="C52" i="20"/>
  <c r="I25" i="20"/>
  <c r="C28" i="20"/>
  <c r="D28" i="20"/>
  <c r="E28" i="20"/>
  <c r="F28" i="20"/>
  <c r="C29" i="20"/>
  <c r="D29" i="20"/>
  <c r="E29" i="20"/>
  <c r="F29" i="20"/>
  <c r="C30" i="20"/>
  <c r="D30" i="20"/>
  <c r="E30" i="20"/>
  <c r="F30" i="20"/>
  <c r="C32" i="20"/>
  <c r="D32" i="20"/>
  <c r="E32" i="20"/>
  <c r="F32" i="20"/>
  <c r="D33" i="20"/>
  <c r="E33" i="20"/>
  <c r="F33" i="20"/>
  <c r="D34" i="20"/>
  <c r="D31" i="20"/>
  <c r="E34" i="20"/>
  <c r="E31" i="20"/>
  <c r="E27" i="20"/>
  <c r="F34" i="20"/>
  <c r="F31" i="20"/>
  <c r="F27" i="20"/>
  <c r="E45" i="20"/>
  <c r="F45" i="20"/>
  <c r="G45" i="20"/>
  <c r="G49" i="20"/>
  <c r="D52" i="20"/>
  <c r="E52" i="20"/>
  <c r="F52" i="20"/>
  <c r="C22" i="42"/>
  <c r="F22" i="42"/>
  <c r="C23" i="42"/>
  <c r="F23" i="42"/>
  <c r="C24" i="42"/>
  <c r="F24" i="42"/>
  <c r="C25" i="42"/>
  <c r="F25" i="42"/>
  <c r="C26" i="42"/>
  <c r="F26" i="42"/>
  <c r="C27" i="42"/>
  <c r="F27" i="42"/>
  <c r="C28" i="42"/>
  <c r="F28" i="42"/>
  <c r="C29" i="42"/>
  <c r="F29" i="42"/>
  <c r="C30" i="42"/>
  <c r="F30" i="42"/>
  <c r="D31" i="42"/>
  <c r="E31" i="42"/>
  <c r="C324" i="39"/>
  <c r="E324" i="39"/>
  <c r="C32" i="42"/>
  <c r="F32" i="42"/>
  <c r="C33" i="42"/>
  <c r="F33" i="42"/>
  <c r="C34" i="42"/>
  <c r="F34" i="42"/>
  <c r="C35" i="42"/>
  <c r="F35" i="42"/>
  <c r="C36" i="42"/>
  <c r="F36" i="42"/>
  <c r="C37" i="42"/>
  <c r="F37" i="42"/>
  <c r="C38" i="42"/>
  <c r="F38" i="42"/>
  <c r="C39" i="42"/>
  <c r="F39" i="42"/>
  <c r="C40" i="42"/>
  <c r="F40" i="42"/>
  <c r="C41" i="42"/>
  <c r="F41" i="42"/>
  <c r="D42" i="42"/>
  <c r="E42" i="42"/>
  <c r="C325" i="39"/>
  <c r="E325" i="39"/>
  <c r="C44" i="42"/>
  <c r="F44" i="42"/>
  <c r="C45" i="42"/>
  <c r="F45" i="42"/>
  <c r="C46" i="42"/>
  <c r="F46" i="42"/>
  <c r="C47" i="42"/>
  <c r="F47" i="42"/>
  <c r="C48" i="42"/>
  <c r="F48" i="42"/>
  <c r="C49" i="42"/>
  <c r="F49" i="42"/>
  <c r="C50" i="42"/>
  <c r="F50" i="42"/>
  <c r="C51" i="42"/>
  <c r="F51" i="42"/>
  <c r="C52" i="42"/>
  <c r="F52" i="42"/>
  <c r="D53" i="42"/>
  <c r="E53" i="42"/>
  <c r="C326" i="39"/>
  <c r="E326" i="39"/>
  <c r="C55" i="42"/>
  <c r="F55" i="42"/>
  <c r="C56" i="42"/>
  <c r="F56" i="42"/>
  <c r="C57" i="42"/>
  <c r="F57" i="42"/>
  <c r="C58" i="42"/>
  <c r="F58" i="42"/>
  <c r="C59" i="42"/>
  <c r="F59" i="42"/>
  <c r="C60" i="42"/>
  <c r="F60" i="42"/>
  <c r="C61" i="42"/>
  <c r="F61" i="42"/>
  <c r="C62" i="42"/>
  <c r="F62" i="42"/>
  <c r="C63" i="42"/>
  <c r="F63" i="42"/>
  <c r="D64" i="42"/>
  <c r="E64" i="42"/>
  <c r="C327" i="39"/>
  <c r="E327" i="39"/>
  <c r="C66" i="42"/>
  <c r="F66" i="42"/>
  <c r="C67" i="42"/>
  <c r="F67" i="42"/>
  <c r="C68" i="42"/>
  <c r="F68" i="42"/>
  <c r="C69" i="42"/>
  <c r="F69" i="42"/>
  <c r="C70" i="42"/>
  <c r="F70" i="42"/>
  <c r="C71" i="42"/>
  <c r="F71" i="42"/>
  <c r="C72" i="42"/>
  <c r="F72" i="42"/>
  <c r="C73" i="42"/>
  <c r="F73" i="42"/>
  <c r="C74" i="42"/>
  <c r="F74" i="42"/>
  <c r="D75" i="42"/>
  <c r="E75" i="42"/>
  <c r="C328" i="39"/>
  <c r="E328" i="39"/>
  <c r="C77" i="42"/>
  <c r="F77" i="42"/>
  <c r="C78" i="42"/>
  <c r="F78" i="42"/>
  <c r="C79" i="42"/>
  <c r="F79" i="42"/>
  <c r="C80" i="42"/>
  <c r="F80" i="42"/>
  <c r="C81" i="42"/>
  <c r="F81" i="42"/>
  <c r="C82" i="42"/>
  <c r="F82" i="42"/>
  <c r="C83" i="42"/>
  <c r="F83" i="42"/>
  <c r="C84" i="42"/>
  <c r="F84" i="42"/>
  <c r="C85" i="42"/>
  <c r="F85" i="42"/>
  <c r="D86" i="42"/>
  <c r="E86" i="42"/>
  <c r="C329" i="39"/>
  <c r="E329" i="39"/>
  <c r="C88" i="42"/>
  <c r="F88" i="42"/>
  <c r="C89" i="42"/>
  <c r="F89" i="42"/>
  <c r="C90" i="42"/>
  <c r="F90" i="42"/>
  <c r="C91" i="42"/>
  <c r="F91" i="42"/>
  <c r="C92" i="42"/>
  <c r="F92" i="42"/>
  <c r="C93" i="42"/>
  <c r="F93" i="42"/>
  <c r="C94" i="42"/>
  <c r="F94" i="42"/>
  <c r="C95" i="42"/>
  <c r="F95" i="42"/>
  <c r="C96" i="42"/>
  <c r="F96" i="42"/>
  <c r="D97" i="42"/>
  <c r="E97" i="42"/>
  <c r="C330" i="39"/>
  <c r="E330" i="39"/>
  <c r="C99" i="42"/>
  <c r="F99" i="42"/>
  <c r="C100" i="42"/>
  <c r="F100" i="42"/>
  <c r="C101" i="42"/>
  <c r="F101" i="42"/>
  <c r="C102" i="42"/>
  <c r="F102" i="42"/>
  <c r="C103" i="42"/>
  <c r="F103" i="42"/>
  <c r="C104" i="42"/>
  <c r="F104" i="42"/>
  <c r="C105" i="42"/>
  <c r="F105" i="42"/>
  <c r="C106" i="42"/>
  <c r="F106" i="42"/>
  <c r="C107" i="42"/>
  <c r="F107" i="42"/>
  <c r="D108" i="42"/>
  <c r="E108" i="42"/>
  <c r="C331" i="39"/>
  <c r="E331" i="39"/>
  <c r="C109" i="42"/>
  <c r="F109" i="42"/>
  <c r="C111" i="42"/>
  <c r="F111" i="42"/>
  <c r="C112" i="42"/>
  <c r="F112" i="42"/>
  <c r="C113" i="42"/>
  <c r="F113" i="42"/>
  <c r="C114" i="42"/>
  <c r="F114" i="42"/>
  <c r="C115" i="42"/>
  <c r="F115" i="42"/>
  <c r="C116" i="42"/>
  <c r="F116" i="42"/>
  <c r="C117" i="42"/>
  <c r="F117" i="42"/>
  <c r="C118" i="42"/>
  <c r="F118" i="42"/>
  <c r="D119" i="42"/>
  <c r="E119" i="42"/>
  <c r="C332" i="39"/>
  <c r="E332" i="39"/>
  <c r="C120" i="42"/>
  <c r="F120" i="42"/>
  <c r="C121" i="42"/>
  <c r="F121" i="42"/>
  <c r="C122" i="42"/>
  <c r="F122" i="42"/>
  <c r="C123" i="42"/>
  <c r="F123" i="42"/>
  <c r="C124" i="42"/>
  <c r="F124" i="42"/>
  <c r="C125" i="42"/>
  <c r="F125" i="42"/>
  <c r="C126" i="42"/>
  <c r="F126" i="42"/>
  <c r="C127" i="42"/>
  <c r="F127" i="42"/>
  <c r="C128" i="42"/>
  <c r="F128" i="42"/>
  <c r="C129" i="42"/>
  <c r="F129" i="42"/>
  <c r="D130" i="42"/>
  <c r="E130" i="42"/>
  <c r="C333" i="39"/>
  <c r="E333" i="39"/>
  <c r="C131" i="42"/>
  <c r="F131" i="42"/>
  <c r="C133" i="42"/>
  <c r="F133" i="42"/>
  <c r="C134" i="42"/>
  <c r="F134" i="42"/>
  <c r="C135" i="42"/>
  <c r="F135" i="42"/>
  <c r="C136" i="42"/>
  <c r="F136" i="42"/>
  <c r="C137" i="42"/>
  <c r="F137" i="42"/>
  <c r="C138" i="42"/>
  <c r="F138" i="42"/>
  <c r="C139" i="42"/>
  <c r="F139" i="42"/>
  <c r="C140" i="42"/>
  <c r="F140" i="42"/>
  <c r="D141" i="42"/>
  <c r="C142" i="42"/>
  <c r="F142" i="42"/>
  <c r="C143" i="42"/>
  <c r="F143" i="42"/>
  <c r="C144" i="42"/>
  <c r="F144" i="42"/>
  <c r="C145" i="42"/>
  <c r="F145" i="42"/>
  <c r="C146" i="42"/>
  <c r="F146" i="42"/>
  <c r="C147" i="42"/>
  <c r="F147" i="42"/>
  <c r="C148" i="42"/>
  <c r="F148" i="42"/>
  <c r="C149" i="42"/>
  <c r="F149" i="42"/>
  <c r="C150" i="42"/>
  <c r="F150" i="42"/>
  <c r="C151" i="42"/>
  <c r="F151" i="42"/>
  <c r="D152" i="42"/>
  <c r="E152" i="42"/>
  <c r="C335" i="39"/>
  <c r="E335" i="39"/>
  <c r="C155" i="42"/>
  <c r="F155" i="42"/>
  <c r="C156" i="42"/>
  <c r="F156" i="42"/>
  <c r="C157" i="42"/>
  <c r="F157" i="42"/>
  <c r="C158" i="42"/>
  <c r="F158" i="42"/>
  <c r="C159" i="42"/>
  <c r="F159" i="42"/>
  <c r="C160" i="42"/>
  <c r="F160" i="42"/>
  <c r="C161" i="42"/>
  <c r="F161" i="42"/>
  <c r="C162" i="42"/>
  <c r="F162" i="42"/>
  <c r="D163" i="42"/>
  <c r="E163" i="42"/>
  <c r="C336" i="39"/>
  <c r="E336" i="39"/>
  <c r="C164" i="42"/>
  <c r="F164" i="42"/>
  <c r="C166" i="42"/>
  <c r="F166" i="42"/>
  <c r="C167" i="42"/>
  <c r="F167" i="42"/>
  <c r="C168" i="42"/>
  <c r="F168" i="42"/>
  <c r="C169" i="42"/>
  <c r="F169" i="42"/>
  <c r="C170" i="42"/>
  <c r="F170" i="42"/>
  <c r="C171" i="42"/>
  <c r="F171" i="42"/>
  <c r="C172" i="42"/>
  <c r="F172" i="42"/>
  <c r="C173" i="42"/>
  <c r="F173" i="42"/>
  <c r="D174" i="42"/>
  <c r="E174" i="42"/>
  <c r="C337" i="39"/>
  <c r="E337" i="39"/>
  <c r="C176" i="42"/>
  <c r="F176" i="42"/>
  <c r="C177" i="42"/>
  <c r="F177" i="42"/>
  <c r="C178" i="42"/>
  <c r="F178" i="42"/>
  <c r="C179" i="42"/>
  <c r="F179" i="42"/>
  <c r="C180" i="42"/>
  <c r="F180" i="42"/>
  <c r="C181" i="42"/>
  <c r="F181" i="42"/>
  <c r="C182" i="42"/>
  <c r="F182" i="42"/>
  <c r="C183" i="42"/>
  <c r="F183" i="42"/>
  <c r="C184" i="42"/>
  <c r="F184" i="42"/>
  <c r="D185" i="42"/>
  <c r="E185" i="42"/>
  <c r="C338" i="39"/>
  <c r="E338" i="39"/>
  <c r="C187" i="42"/>
  <c r="F187" i="42"/>
  <c r="C188" i="42"/>
  <c r="F188" i="42"/>
  <c r="C189" i="42"/>
  <c r="F189" i="42"/>
  <c r="C190" i="42"/>
  <c r="F190" i="42"/>
  <c r="C191" i="42"/>
  <c r="F191" i="42"/>
  <c r="C192" i="42"/>
  <c r="F192" i="42"/>
  <c r="C193" i="42"/>
  <c r="F193" i="42"/>
  <c r="C194" i="42"/>
  <c r="F194" i="42"/>
  <c r="C195" i="42"/>
  <c r="F195" i="42"/>
  <c r="D196" i="42"/>
  <c r="E196" i="42"/>
  <c r="C339" i="39"/>
  <c r="E339" i="39"/>
  <c r="C199" i="42"/>
  <c r="F199" i="42"/>
  <c r="C200" i="42"/>
  <c r="F200" i="42"/>
  <c r="C201" i="42"/>
  <c r="F201" i="42"/>
  <c r="C202" i="42"/>
  <c r="F202" i="42"/>
  <c r="C203" i="42"/>
  <c r="F203" i="42"/>
  <c r="C204" i="42"/>
  <c r="F204" i="42"/>
  <c r="C205" i="42"/>
  <c r="F205" i="42"/>
  <c r="C206" i="42"/>
  <c r="F206" i="42"/>
  <c r="D207" i="42"/>
  <c r="E207" i="42"/>
  <c r="C340" i="39"/>
  <c r="E340" i="39"/>
  <c r="C208" i="42"/>
  <c r="F208" i="42"/>
  <c r="C209" i="42"/>
  <c r="F209" i="42"/>
  <c r="C210" i="42"/>
  <c r="F210" i="42"/>
  <c r="C211" i="42"/>
  <c r="F211" i="42"/>
  <c r="C212" i="42"/>
  <c r="F212" i="42"/>
  <c r="C213" i="42"/>
  <c r="F213" i="42"/>
  <c r="C214" i="42"/>
  <c r="F214" i="42"/>
  <c r="C215" i="42"/>
  <c r="F215" i="42"/>
  <c r="C216" i="42"/>
  <c r="F216" i="42"/>
  <c r="C217" i="42"/>
  <c r="F217" i="42"/>
  <c r="D218" i="42"/>
  <c r="E218" i="42"/>
  <c r="C341" i="39"/>
  <c r="E341" i="39"/>
  <c r="F220" i="42"/>
  <c r="C221" i="42"/>
  <c r="F221" i="42"/>
  <c r="C222" i="42"/>
  <c r="F222" i="42"/>
  <c r="C223" i="42"/>
  <c r="F223" i="42"/>
  <c r="C224" i="42"/>
  <c r="F224" i="42"/>
  <c r="C225" i="42"/>
  <c r="F225" i="42"/>
  <c r="C226" i="42"/>
  <c r="F226" i="42"/>
  <c r="C227" i="42"/>
  <c r="F227" i="42"/>
  <c r="C228" i="42"/>
  <c r="F228" i="42"/>
  <c r="D229" i="42"/>
  <c r="E229" i="42"/>
  <c r="C342" i="39"/>
  <c r="E342" i="39"/>
  <c r="C230" i="42"/>
  <c r="F230" i="42"/>
  <c r="C232" i="42"/>
  <c r="F232" i="42"/>
  <c r="C233" i="42"/>
  <c r="F233" i="42"/>
  <c r="C234" i="42"/>
  <c r="F234" i="42"/>
  <c r="C235" i="42"/>
  <c r="F235" i="42"/>
  <c r="C236" i="42"/>
  <c r="F236" i="42"/>
  <c r="C237" i="42"/>
  <c r="F237" i="42"/>
  <c r="C238" i="42"/>
  <c r="F238" i="42"/>
  <c r="C239" i="42"/>
  <c r="F239" i="42"/>
  <c r="D240" i="42"/>
  <c r="E240" i="42"/>
  <c r="C343" i="39"/>
  <c r="E343" i="39"/>
  <c r="C241" i="42"/>
  <c r="F241" i="42"/>
  <c r="C242" i="42"/>
  <c r="F242" i="42"/>
  <c r="C243" i="42"/>
  <c r="F243" i="42"/>
  <c r="C244" i="42"/>
  <c r="F244" i="42"/>
  <c r="C245" i="42"/>
  <c r="F245" i="42"/>
  <c r="C246" i="42"/>
  <c r="F246" i="42"/>
  <c r="C247" i="42"/>
  <c r="F247" i="42"/>
  <c r="C248" i="42"/>
  <c r="F248" i="42"/>
  <c r="C249" i="42"/>
  <c r="F249" i="42"/>
  <c r="C250" i="42"/>
  <c r="F250" i="42"/>
  <c r="D251" i="42"/>
  <c r="E251" i="42"/>
  <c r="C344" i="39"/>
  <c r="E344" i="39"/>
  <c r="C253" i="42"/>
  <c r="F253" i="42"/>
  <c r="C254" i="42"/>
  <c r="F254" i="42"/>
  <c r="C255" i="42"/>
  <c r="F255" i="42"/>
  <c r="C256" i="42"/>
  <c r="F256" i="42"/>
  <c r="C257" i="42"/>
  <c r="F257" i="42"/>
  <c r="C258" i="42"/>
  <c r="F258" i="42"/>
  <c r="C259" i="42"/>
  <c r="F259" i="42"/>
  <c r="C260" i="42"/>
  <c r="F260" i="42"/>
  <c r="C261" i="42"/>
  <c r="F261" i="42"/>
  <c r="D262" i="42"/>
  <c r="E262" i="42"/>
  <c r="C345" i="39"/>
  <c r="E345" i="39"/>
  <c r="C263" i="42"/>
  <c r="F263" i="42"/>
  <c r="C264" i="42"/>
  <c r="F264" i="42"/>
  <c r="C265" i="42"/>
  <c r="F265" i="42"/>
  <c r="C266" i="42"/>
  <c r="F266" i="42"/>
  <c r="C267" i="42"/>
  <c r="F267" i="42"/>
  <c r="C268" i="42"/>
  <c r="F268" i="42"/>
  <c r="C269" i="42"/>
  <c r="F269" i="42"/>
  <c r="C270" i="42"/>
  <c r="F270" i="42"/>
  <c r="C271" i="42"/>
  <c r="F271" i="42"/>
  <c r="C272" i="42"/>
  <c r="F272" i="42"/>
  <c r="D273" i="42"/>
  <c r="E273" i="42"/>
  <c r="C346" i="39"/>
  <c r="E346" i="39"/>
  <c r="C274" i="42"/>
  <c r="F274" i="42"/>
  <c r="C275" i="42"/>
  <c r="F275" i="42"/>
  <c r="C276" i="42"/>
  <c r="F276" i="42"/>
  <c r="C277" i="42"/>
  <c r="F277" i="42"/>
  <c r="C278" i="42"/>
  <c r="F278" i="42"/>
  <c r="C279" i="42"/>
  <c r="F279" i="42"/>
  <c r="C280" i="42"/>
  <c r="F280" i="42"/>
  <c r="C281" i="42"/>
  <c r="F281" i="42"/>
  <c r="C282" i="42"/>
  <c r="F282" i="42"/>
  <c r="C283" i="42"/>
  <c r="F283" i="42"/>
  <c r="D284" i="42"/>
  <c r="E284" i="42"/>
  <c r="C347" i="39"/>
  <c r="E347" i="39"/>
  <c r="C286" i="42"/>
  <c r="F286" i="42"/>
  <c r="C287" i="42"/>
  <c r="F287" i="42"/>
  <c r="C288" i="42"/>
  <c r="F288" i="42"/>
  <c r="C289" i="42"/>
  <c r="F289" i="42"/>
  <c r="C290" i="42"/>
  <c r="F290" i="42"/>
  <c r="C291" i="42"/>
  <c r="F291" i="42"/>
  <c r="C292" i="42"/>
  <c r="F292" i="42"/>
  <c r="C293" i="42"/>
  <c r="F293" i="42"/>
  <c r="C294" i="42"/>
  <c r="F294" i="42"/>
  <c r="D295" i="42"/>
  <c r="E295" i="42"/>
  <c r="C348" i="39"/>
  <c r="E348" i="39"/>
  <c r="E296" i="42"/>
  <c r="C296" i="42"/>
  <c r="F296" i="42"/>
  <c r="C297" i="42"/>
  <c r="F297" i="42"/>
  <c r="C298" i="42"/>
  <c r="F298" i="42"/>
  <c r="C299" i="42"/>
  <c r="F299" i="42"/>
  <c r="C300" i="42"/>
  <c r="F300" i="42"/>
  <c r="C301" i="42"/>
  <c r="F301" i="42"/>
  <c r="C302" i="42"/>
  <c r="F302" i="42"/>
  <c r="C303" i="42"/>
  <c r="F303" i="42"/>
  <c r="C304" i="42"/>
  <c r="F304" i="42"/>
  <c r="D305" i="42"/>
  <c r="E305" i="42"/>
  <c r="C349" i="39"/>
  <c r="E349" i="39"/>
  <c r="C307" i="42"/>
  <c r="F307" i="42"/>
  <c r="C308" i="42"/>
  <c r="F308" i="42"/>
  <c r="C309" i="42"/>
  <c r="F309" i="42"/>
  <c r="C310" i="42"/>
  <c r="F310" i="42"/>
  <c r="C311" i="42"/>
  <c r="F311" i="42"/>
  <c r="C312" i="42"/>
  <c r="F312" i="42"/>
  <c r="C313" i="42"/>
  <c r="F313" i="42"/>
  <c r="C314" i="42"/>
  <c r="F314" i="42"/>
  <c r="C315" i="42"/>
  <c r="F315" i="42"/>
  <c r="D316" i="42"/>
  <c r="E316" i="42"/>
  <c r="C350" i="39"/>
  <c r="E350" i="39"/>
  <c r="C317" i="42"/>
  <c r="F317" i="42"/>
  <c r="C318" i="42"/>
  <c r="F318" i="42"/>
  <c r="C319" i="42"/>
  <c r="F319" i="42"/>
  <c r="C320" i="42"/>
  <c r="F320" i="42"/>
  <c r="C321" i="42"/>
  <c r="F321" i="42"/>
  <c r="C322" i="42"/>
  <c r="F322" i="42"/>
  <c r="C323" i="42"/>
  <c r="F323" i="42"/>
  <c r="C324" i="42"/>
  <c r="F324" i="42"/>
  <c r="C325" i="42"/>
  <c r="F325" i="42"/>
  <c r="C326" i="42"/>
  <c r="F326" i="42"/>
  <c r="D327" i="42"/>
  <c r="E327" i="42"/>
  <c r="C351" i="39"/>
  <c r="E351" i="39"/>
  <c r="C328" i="42"/>
  <c r="F328" i="42"/>
  <c r="C329" i="42"/>
  <c r="F329" i="42"/>
  <c r="C332" i="42"/>
  <c r="F332" i="42"/>
  <c r="C333" i="42"/>
  <c r="F333" i="42"/>
  <c r="C334" i="42"/>
  <c r="F334" i="42"/>
  <c r="C335" i="42"/>
  <c r="F335" i="42"/>
  <c r="C336" i="42"/>
  <c r="F336" i="42"/>
  <c r="C337" i="42"/>
  <c r="F337" i="42"/>
  <c r="D338" i="42"/>
  <c r="C142" i="39"/>
  <c r="E142" i="39"/>
  <c r="E338" i="42"/>
  <c r="C352" i="39"/>
  <c r="E352" i="39"/>
  <c r="C340" i="42"/>
  <c r="F340" i="42"/>
  <c r="C341" i="42"/>
  <c r="F341" i="42"/>
  <c r="C342" i="42"/>
  <c r="F342" i="42"/>
  <c r="C343" i="42"/>
  <c r="F343" i="42"/>
  <c r="C344" i="42"/>
  <c r="F344" i="42"/>
  <c r="C345" i="42"/>
  <c r="F345" i="42"/>
  <c r="C346" i="42"/>
  <c r="F346" i="42"/>
  <c r="C347" i="42"/>
  <c r="F347" i="42"/>
  <c r="C348" i="42"/>
  <c r="F348" i="42"/>
  <c r="D349" i="42"/>
  <c r="E349" i="42"/>
  <c r="C353" i="39"/>
  <c r="E353" i="39"/>
  <c r="C351" i="42"/>
  <c r="F351" i="42"/>
  <c r="C352" i="42"/>
  <c r="F352" i="42"/>
  <c r="C353" i="42"/>
  <c r="F353" i="42"/>
  <c r="C354" i="42"/>
  <c r="F354" i="42"/>
  <c r="C355" i="42"/>
  <c r="F355" i="42"/>
  <c r="C356" i="42"/>
  <c r="F356" i="42"/>
  <c r="C357" i="42"/>
  <c r="F357" i="42"/>
  <c r="C358" i="42"/>
  <c r="F358" i="42"/>
  <c r="C359" i="42"/>
  <c r="F359" i="42"/>
  <c r="D360" i="42"/>
  <c r="E360" i="42"/>
  <c r="C354" i="39"/>
  <c r="E354" i="39"/>
  <c r="C362" i="42"/>
  <c r="F362" i="42"/>
  <c r="C363" i="42"/>
  <c r="F363" i="42"/>
  <c r="C364" i="42"/>
  <c r="F364" i="42"/>
  <c r="C365" i="42"/>
  <c r="F365" i="42"/>
  <c r="C366" i="42"/>
  <c r="F366" i="42"/>
  <c r="C367" i="42"/>
  <c r="F367" i="42"/>
  <c r="C368" i="42"/>
  <c r="F368" i="42"/>
  <c r="C369" i="42"/>
  <c r="F369" i="42"/>
  <c r="C370" i="42"/>
  <c r="F370" i="42"/>
  <c r="D371" i="42"/>
  <c r="E371" i="42"/>
  <c r="C355" i="39"/>
  <c r="E355" i="39"/>
  <c r="C373" i="42"/>
  <c r="F373" i="42"/>
  <c r="C374" i="42"/>
  <c r="F374" i="42"/>
  <c r="C375" i="42"/>
  <c r="F375" i="42"/>
  <c r="C376" i="42"/>
  <c r="F376" i="42"/>
  <c r="C377" i="42"/>
  <c r="F377" i="42"/>
  <c r="C378" i="42"/>
  <c r="F378" i="42"/>
  <c r="C379" i="42"/>
  <c r="F379" i="42"/>
  <c r="C380" i="42"/>
  <c r="F380" i="42"/>
  <c r="C381" i="42"/>
  <c r="F381" i="42"/>
  <c r="D382" i="42"/>
  <c r="E382" i="42"/>
  <c r="C356" i="39"/>
  <c r="E356" i="39"/>
  <c r="C384" i="42"/>
  <c r="F384" i="42"/>
  <c r="C385" i="42"/>
  <c r="F385" i="42"/>
  <c r="C386" i="42"/>
  <c r="F386" i="42"/>
  <c r="C387" i="42"/>
  <c r="F387" i="42"/>
  <c r="C388" i="42"/>
  <c r="F388" i="42"/>
  <c r="C389" i="42"/>
  <c r="F389" i="42"/>
  <c r="C390" i="42"/>
  <c r="F390" i="42"/>
  <c r="C391" i="42"/>
  <c r="F391" i="42"/>
  <c r="C392" i="42"/>
  <c r="F392" i="42"/>
  <c r="D393" i="42"/>
  <c r="E393" i="42"/>
  <c r="C357" i="39"/>
  <c r="E357" i="39"/>
  <c r="C395" i="42"/>
  <c r="F395" i="42"/>
  <c r="C396" i="42"/>
  <c r="F396" i="42"/>
  <c r="C397" i="42"/>
  <c r="F397" i="42"/>
  <c r="C398" i="42"/>
  <c r="F398" i="42"/>
  <c r="C399" i="42"/>
  <c r="F399" i="42"/>
  <c r="C400" i="42"/>
  <c r="F400" i="42"/>
  <c r="C401" i="42"/>
  <c r="F401" i="42"/>
  <c r="C402" i="42"/>
  <c r="F402" i="42"/>
  <c r="C403" i="42"/>
  <c r="F403" i="42"/>
  <c r="D404" i="42"/>
  <c r="E404" i="42"/>
  <c r="C358" i="39"/>
  <c r="E358" i="39"/>
  <c r="C406" i="42"/>
  <c r="F406" i="42"/>
  <c r="C407" i="42"/>
  <c r="F407" i="42"/>
  <c r="C408" i="42"/>
  <c r="F408" i="42"/>
  <c r="C409" i="42"/>
  <c r="F409" i="42"/>
  <c r="C410" i="42"/>
  <c r="F410" i="42"/>
  <c r="C411" i="42"/>
  <c r="F411" i="42"/>
  <c r="C412" i="42"/>
  <c r="F412" i="42"/>
  <c r="C413" i="42"/>
  <c r="F413" i="42"/>
  <c r="C414" i="42"/>
  <c r="F414" i="42"/>
  <c r="D415" i="42"/>
  <c r="E415" i="42"/>
  <c r="C359" i="39"/>
  <c r="E359" i="39"/>
  <c r="C416" i="42"/>
  <c r="F416" i="42"/>
  <c r="C417" i="42"/>
  <c r="F417" i="42"/>
  <c r="C419" i="42"/>
  <c r="F419" i="42"/>
  <c r="C420" i="42"/>
  <c r="F420" i="42"/>
  <c r="C421" i="42"/>
  <c r="F421" i="42"/>
  <c r="C422" i="42"/>
  <c r="F422" i="42"/>
  <c r="C423" i="42"/>
  <c r="F423" i="42"/>
  <c r="C424" i="42"/>
  <c r="F424" i="42"/>
  <c r="C425" i="42"/>
  <c r="F425" i="42"/>
  <c r="D426" i="42"/>
  <c r="C150" i="39"/>
  <c r="E150" i="39"/>
  <c r="E426" i="42"/>
  <c r="C360" i="39"/>
  <c r="E360" i="39"/>
  <c r="C428" i="42"/>
  <c r="F428" i="42"/>
  <c r="C429" i="42"/>
  <c r="F429" i="42"/>
  <c r="C430" i="42"/>
  <c r="F430" i="42"/>
  <c r="C431" i="42"/>
  <c r="F431" i="42"/>
  <c r="C432" i="42"/>
  <c r="F432" i="42"/>
  <c r="C433" i="42"/>
  <c r="F433" i="42"/>
  <c r="C434" i="42"/>
  <c r="F434" i="42"/>
  <c r="C435" i="42"/>
  <c r="F435" i="42"/>
  <c r="C436" i="42"/>
  <c r="F436" i="42"/>
  <c r="D437" i="42"/>
  <c r="E437" i="42"/>
  <c r="C361" i="39"/>
  <c r="E361" i="39"/>
  <c r="C439" i="42"/>
  <c r="F439" i="42"/>
  <c r="C440" i="42"/>
  <c r="F440" i="42"/>
  <c r="C441" i="42"/>
  <c r="F441" i="42"/>
  <c r="C442" i="42"/>
  <c r="F442" i="42"/>
  <c r="C443" i="42"/>
  <c r="F443" i="42"/>
  <c r="C444" i="42"/>
  <c r="F444" i="42"/>
  <c r="C445" i="42"/>
  <c r="F445" i="42"/>
  <c r="C446" i="42"/>
  <c r="F446" i="42"/>
  <c r="C447" i="42"/>
  <c r="F447" i="42"/>
  <c r="D448" i="42"/>
  <c r="E448" i="42"/>
  <c r="C362" i="39"/>
  <c r="E362" i="39"/>
  <c r="C449" i="42"/>
  <c r="F449" i="42"/>
  <c r="C450" i="42"/>
  <c r="F450" i="42"/>
  <c r="C451" i="42"/>
  <c r="F451" i="42"/>
  <c r="C452" i="42"/>
  <c r="F452" i="42"/>
  <c r="C454" i="42"/>
  <c r="F454" i="42"/>
  <c r="C455" i="42"/>
  <c r="F455" i="42"/>
  <c r="C456" i="42"/>
  <c r="F456" i="42"/>
  <c r="C457" i="42"/>
  <c r="F457" i="42"/>
  <c r="C458" i="42"/>
  <c r="F458" i="42"/>
  <c r="D459" i="42"/>
  <c r="C153" i="39"/>
  <c r="E153" i="39"/>
  <c r="E459" i="42"/>
  <c r="C363" i="39"/>
  <c r="E363" i="39"/>
  <c r="C461" i="42"/>
  <c r="F461" i="42"/>
  <c r="C462" i="42"/>
  <c r="F462" i="42"/>
  <c r="C463" i="42"/>
  <c r="F463" i="42"/>
  <c r="C464" i="42"/>
  <c r="F464" i="42"/>
  <c r="C465" i="42"/>
  <c r="F465" i="42"/>
  <c r="C466" i="42"/>
  <c r="F466" i="42"/>
  <c r="C467" i="42"/>
  <c r="F467" i="42"/>
  <c r="C468" i="42"/>
  <c r="F468" i="42"/>
  <c r="C469" i="42"/>
  <c r="F469" i="42"/>
  <c r="D470" i="42"/>
  <c r="E470" i="42"/>
  <c r="C364" i="39"/>
  <c r="E364" i="39"/>
  <c r="C472" i="42"/>
  <c r="F472" i="42"/>
  <c r="C473" i="42"/>
  <c r="F473" i="42"/>
  <c r="C474" i="42"/>
  <c r="F474" i="42"/>
  <c r="C475" i="42"/>
  <c r="F475" i="42"/>
  <c r="C476" i="42"/>
  <c r="F476" i="42"/>
  <c r="C477" i="42"/>
  <c r="F477" i="42"/>
  <c r="C478" i="42"/>
  <c r="F478" i="42"/>
  <c r="C479" i="42"/>
  <c r="F479" i="42"/>
  <c r="C480" i="42"/>
  <c r="F480" i="42"/>
  <c r="D481" i="42"/>
  <c r="E481" i="42"/>
  <c r="C365" i="39"/>
  <c r="E365" i="39"/>
  <c r="C482" i="42"/>
  <c r="F482" i="42"/>
  <c r="C483" i="42"/>
  <c r="F483" i="42"/>
  <c r="C484" i="42"/>
  <c r="F484" i="42"/>
  <c r="C485" i="42"/>
  <c r="F485" i="42"/>
  <c r="C486" i="42"/>
  <c r="F486" i="42"/>
  <c r="C487" i="42"/>
  <c r="F487" i="42"/>
  <c r="C488" i="42"/>
  <c r="F488" i="42"/>
  <c r="C489" i="42"/>
  <c r="F489" i="42"/>
  <c r="C490" i="42"/>
  <c r="F490" i="42"/>
  <c r="C491" i="42"/>
  <c r="F491" i="42"/>
  <c r="D492" i="42"/>
  <c r="E492" i="42"/>
  <c r="C366" i="39"/>
  <c r="E366" i="39"/>
  <c r="C494" i="42"/>
  <c r="F494" i="42"/>
  <c r="C495" i="42"/>
  <c r="F495" i="42"/>
  <c r="C496" i="42"/>
  <c r="F496" i="42"/>
  <c r="C497" i="42"/>
  <c r="F497" i="42"/>
  <c r="C498" i="42"/>
  <c r="F498" i="42"/>
  <c r="C499" i="42"/>
  <c r="F499" i="42"/>
  <c r="C500" i="42"/>
  <c r="F500" i="42"/>
  <c r="C501" i="42"/>
  <c r="F501" i="42"/>
  <c r="C502" i="42"/>
  <c r="F502" i="42"/>
  <c r="D503" i="42"/>
  <c r="E503" i="42"/>
  <c r="C367" i="39"/>
  <c r="E367" i="39"/>
  <c r="C504" i="42"/>
  <c r="F504" i="42"/>
  <c r="C505" i="42"/>
  <c r="F505" i="42"/>
  <c r="C506" i="42"/>
  <c r="F506" i="42"/>
  <c r="C507" i="42"/>
  <c r="F507" i="42"/>
  <c r="C508" i="42"/>
  <c r="F508" i="42"/>
  <c r="C509" i="42"/>
  <c r="F509" i="42"/>
  <c r="C510" i="42"/>
  <c r="F510" i="42"/>
  <c r="C511" i="42"/>
  <c r="F511" i="42"/>
  <c r="C512" i="42"/>
  <c r="F512" i="42"/>
  <c r="C513" i="42"/>
  <c r="F513" i="42"/>
  <c r="D514" i="42"/>
  <c r="E514" i="42"/>
  <c r="C368" i="39"/>
  <c r="E368" i="39"/>
  <c r="C516" i="42"/>
  <c r="F516" i="42"/>
  <c r="C517" i="42"/>
  <c r="F517" i="42"/>
  <c r="C518" i="42"/>
  <c r="F518" i="42"/>
  <c r="C519" i="42"/>
  <c r="F519" i="42"/>
  <c r="C520" i="42"/>
  <c r="F520" i="42"/>
  <c r="C521" i="42"/>
  <c r="F521" i="42"/>
  <c r="C522" i="42"/>
  <c r="F522" i="42"/>
  <c r="C523" i="42"/>
  <c r="F523" i="42"/>
  <c r="C524" i="42"/>
  <c r="F524" i="42"/>
  <c r="D525" i="42"/>
  <c r="D754" i="42"/>
  <c r="E525" i="42"/>
  <c r="C369" i="39"/>
  <c r="C528" i="42"/>
  <c r="F528" i="42"/>
  <c r="C529" i="42"/>
  <c r="F529" i="42"/>
  <c r="C530" i="42"/>
  <c r="F530" i="42"/>
  <c r="C531" i="42"/>
  <c r="F531" i="42"/>
  <c r="C532" i="42"/>
  <c r="F532" i="42"/>
  <c r="C533" i="42"/>
  <c r="F533" i="42"/>
  <c r="C534" i="42"/>
  <c r="F534" i="42"/>
  <c r="C535" i="42"/>
  <c r="F535" i="42"/>
  <c r="D536" i="42"/>
  <c r="E536" i="42"/>
  <c r="C370" i="39"/>
  <c r="E370" i="39"/>
  <c r="C537" i="42"/>
  <c r="F537" i="42"/>
  <c r="C538" i="42"/>
  <c r="F538" i="42"/>
  <c r="C539" i="42"/>
  <c r="F539" i="42"/>
  <c r="C540" i="42"/>
  <c r="F540" i="42"/>
  <c r="C541" i="42"/>
  <c r="F541" i="42"/>
  <c r="C542" i="42"/>
  <c r="F542" i="42"/>
  <c r="C543" i="42"/>
  <c r="F543" i="42"/>
  <c r="C544" i="42"/>
  <c r="F544" i="42"/>
  <c r="C545" i="42"/>
  <c r="F545" i="42"/>
  <c r="D546" i="42"/>
  <c r="E546" i="42"/>
  <c r="C371" i="39"/>
  <c r="E371" i="39"/>
  <c r="C547" i="42"/>
  <c r="F547" i="42"/>
  <c r="C548" i="42"/>
  <c r="F548" i="42"/>
  <c r="C549" i="42"/>
  <c r="F549" i="42"/>
  <c r="C550" i="42"/>
  <c r="F550" i="42"/>
  <c r="C551" i="42"/>
  <c r="F551" i="42"/>
  <c r="C552" i="42"/>
  <c r="F552" i="42"/>
  <c r="C553" i="42"/>
  <c r="F553" i="42"/>
  <c r="C554" i="42"/>
  <c r="F554" i="42"/>
  <c r="C555" i="42"/>
  <c r="F555" i="42"/>
  <c r="C556" i="42"/>
  <c r="F556" i="42"/>
  <c r="D557" i="42"/>
  <c r="E557" i="42"/>
  <c r="C372" i="39"/>
  <c r="E372" i="39"/>
  <c r="C558" i="42"/>
  <c r="F558" i="42"/>
  <c r="C562" i="42"/>
  <c r="F562" i="42"/>
  <c r="C563" i="42"/>
  <c r="F563" i="42"/>
  <c r="C564" i="42"/>
  <c r="F564" i="42"/>
  <c r="C565" i="42"/>
  <c r="F565" i="42"/>
  <c r="C566" i="42"/>
  <c r="F566" i="42"/>
  <c r="C567" i="42"/>
  <c r="F567" i="42"/>
  <c r="C568" i="42"/>
  <c r="F568" i="42"/>
  <c r="D569" i="42"/>
  <c r="C163" i="39"/>
  <c r="E163" i="39"/>
  <c r="E569" i="42"/>
  <c r="C373" i="39"/>
  <c r="E373" i="39"/>
  <c r="C571" i="42"/>
  <c r="F571" i="42"/>
  <c r="C572" i="42"/>
  <c r="F572" i="42"/>
  <c r="C573" i="42"/>
  <c r="F573" i="42"/>
  <c r="C574" i="42"/>
  <c r="F574" i="42"/>
  <c r="C575" i="42"/>
  <c r="F575" i="42"/>
  <c r="C576" i="42"/>
  <c r="F576" i="42"/>
  <c r="C577" i="42"/>
  <c r="F577" i="42"/>
  <c r="C578" i="42"/>
  <c r="F578" i="42"/>
  <c r="C579" i="42"/>
  <c r="F579" i="42"/>
  <c r="D580" i="42"/>
  <c r="E580" i="42"/>
  <c r="C374" i="39"/>
  <c r="E374" i="39"/>
  <c r="C581" i="42"/>
  <c r="F581" i="42"/>
  <c r="C582" i="42"/>
  <c r="F582" i="42"/>
  <c r="C583" i="42"/>
  <c r="F583" i="42"/>
  <c r="C584" i="42"/>
  <c r="F584" i="42"/>
  <c r="C585" i="42"/>
  <c r="F585" i="42"/>
  <c r="C586" i="42"/>
  <c r="F586" i="42"/>
  <c r="C587" i="42"/>
  <c r="F587" i="42"/>
  <c r="C588" i="42"/>
  <c r="F588" i="42"/>
  <c r="C589" i="42"/>
  <c r="F589" i="42"/>
  <c r="C590" i="42"/>
  <c r="F590" i="42"/>
  <c r="D591" i="42"/>
  <c r="E591" i="42"/>
  <c r="C375" i="39"/>
  <c r="E375" i="39"/>
  <c r="C592" i="42"/>
  <c r="F592" i="42"/>
  <c r="C594" i="42"/>
  <c r="F594" i="42"/>
  <c r="C595" i="42"/>
  <c r="F595" i="42"/>
  <c r="C596" i="42"/>
  <c r="F596" i="42"/>
  <c r="C597" i="42"/>
  <c r="F597" i="42"/>
  <c r="C598" i="42"/>
  <c r="F598" i="42"/>
  <c r="C599" i="42"/>
  <c r="F599" i="42"/>
  <c r="C600" i="42"/>
  <c r="F600" i="42"/>
  <c r="C601" i="42"/>
  <c r="F601" i="42"/>
  <c r="D602" i="42"/>
  <c r="E602" i="42"/>
  <c r="C376" i="39"/>
  <c r="E376" i="39"/>
  <c r="F603" i="42"/>
  <c r="C604" i="42"/>
  <c r="F604" i="42"/>
  <c r="C605" i="42"/>
  <c r="F605" i="42"/>
  <c r="C606" i="42"/>
  <c r="F606" i="42"/>
  <c r="C607" i="42"/>
  <c r="F607" i="42"/>
  <c r="C608" i="42"/>
  <c r="F608" i="42"/>
  <c r="C609" i="42"/>
  <c r="F609" i="42"/>
  <c r="C610" i="42"/>
  <c r="F610" i="42"/>
  <c r="C611" i="42"/>
  <c r="F611" i="42"/>
  <c r="C612" i="42"/>
  <c r="F612" i="42"/>
  <c r="D613" i="42"/>
  <c r="E613" i="42"/>
  <c r="C377" i="39"/>
  <c r="E377" i="39"/>
  <c r="C614" i="42"/>
  <c r="F614" i="42"/>
  <c r="C615" i="42"/>
  <c r="F615" i="42"/>
  <c r="C616" i="42"/>
  <c r="F616" i="42"/>
  <c r="C617" i="42"/>
  <c r="F617" i="42"/>
  <c r="C618" i="42"/>
  <c r="F618" i="42"/>
  <c r="C619" i="42"/>
  <c r="F619" i="42"/>
  <c r="C620" i="42"/>
  <c r="F620" i="42"/>
  <c r="C621" i="42"/>
  <c r="F621" i="42"/>
  <c r="C622" i="42"/>
  <c r="F622" i="42"/>
  <c r="C623" i="42"/>
  <c r="F623" i="42"/>
  <c r="D624" i="42"/>
  <c r="E624" i="42"/>
  <c r="C378" i="39"/>
  <c r="E378" i="39"/>
  <c r="C626" i="42"/>
  <c r="F626" i="42"/>
  <c r="C627" i="42"/>
  <c r="F627" i="42"/>
  <c r="C628" i="42"/>
  <c r="F628" i="42"/>
  <c r="C629" i="42"/>
  <c r="F629" i="42"/>
  <c r="C630" i="42"/>
  <c r="F630" i="42"/>
  <c r="C631" i="42"/>
  <c r="F631" i="42"/>
  <c r="C632" i="42"/>
  <c r="F632" i="42"/>
  <c r="C633" i="42"/>
  <c r="F633" i="42"/>
  <c r="C634" i="42"/>
  <c r="F634" i="42"/>
  <c r="D635" i="42"/>
  <c r="E635" i="42"/>
  <c r="C379" i="39"/>
  <c r="E379" i="39"/>
  <c r="C637" i="42"/>
  <c r="F637" i="42"/>
  <c r="C638" i="42"/>
  <c r="F638" i="42"/>
  <c r="C639" i="42"/>
  <c r="F639" i="42"/>
  <c r="C640" i="42"/>
  <c r="F640" i="42"/>
  <c r="C641" i="42"/>
  <c r="F641" i="42"/>
  <c r="C642" i="42"/>
  <c r="F642" i="42"/>
  <c r="C643" i="42"/>
  <c r="F643" i="42"/>
  <c r="C644" i="42"/>
  <c r="F644" i="42"/>
  <c r="C645" i="42"/>
  <c r="F645" i="42"/>
  <c r="D646" i="42"/>
  <c r="E646" i="42"/>
  <c r="C380" i="39"/>
  <c r="E380" i="39"/>
  <c r="C647" i="42"/>
  <c r="F647" i="42"/>
  <c r="C648" i="42"/>
  <c r="F648" i="42"/>
  <c r="C649" i="42"/>
  <c r="F649" i="42"/>
  <c r="C650" i="42"/>
  <c r="F650" i="42"/>
  <c r="C651" i="42"/>
  <c r="F651" i="42"/>
  <c r="C652" i="42"/>
  <c r="F652" i="42"/>
  <c r="C653" i="42"/>
  <c r="F653" i="42"/>
  <c r="C654" i="42"/>
  <c r="F654" i="42"/>
  <c r="C655" i="42"/>
  <c r="F655" i="42"/>
  <c r="C656" i="42"/>
  <c r="F656" i="42"/>
  <c r="D657" i="42"/>
  <c r="E657" i="42"/>
  <c r="C381" i="39"/>
  <c r="E381" i="39"/>
  <c r="C659" i="42"/>
  <c r="F659" i="42"/>
  <c r="C660" i="42"/>
  <c r="F660" i="42"/>
  <c r="C661" i="42"/>
  <c r="F661" i="42"/>
  <c r="C662" i="42"/>
  <c r="F662" i="42"/>
  <c r="C663" i="42"/>
  <c r="F663" i="42"/>
  <c r="C664" i="42"/>
  <c r="F664" i="42"/>
  <c r="C665" i="42"/>
  <c r="F665" i="42"/>
  <c r="C666" i="42"/>
  <c r="F666" i="42"/>
  <c r="C667" i="42"/>
  <c r="F667" i="42"/>
  <c r="D668" i="42"/>
  <c r="E668" i="42"/>
  <c r="C382" i="39"/>
  <c r="E382" i="39"/>
  <c r="C671" i="42"/>
  <c r="F671" i="42"/>
  <c r="C672" i="42"/>
  <c r="F672" i="42"/>
  <c r="C673" i="42"/>
  <c r="F673" i="42"/>
  <c r="C674" i="42"/>
  <c r="F674" i="42"/>
  <c r="C675" i="42"/>
  <c r="F675" i="42"/>
  <c r="C676" i="42"/>
  <c r="F676" i="42"/>
  <c r="C677" i="42"/>
  <c r="F677" i="42"/>
  <c r="D678" i="42"/>
  <c r="E678" i="42"/>
  <c r="C383" i="39"/>
  <c r="E383" i="39"/>
  <c r="C679" i="42"/>
  <c r="F679" i="42"/>
  <c r="C680" i="42"/>
  <c r="F680" i="42"/>
  <c r="C681" i="42"/>
  <c r="F681" i="42"/>
  <c r="C682" i="42"/>
  <c r="F682" i="42"/>
  <c r="C683" i="42"/>
  <c r="F683" i="42"/>
  <c r="C684" i="42"/>
  <c r="F684" i="42"/>
  <c r="C685" i="42"/>
  <c r="F685" i="42"/>
  <c r="C686" i="42"/>
  <c r="F686" i="42"/>
  <c r="C687" i="42"/>
  <c r="F687" i="42"/>
  <c r="C688" i="42"/>
  <c r="F688" i="42"/>
  <c r="D689" i="42"/>
  <c r="E689" i="42"/>
  <c r="C384" i="39"/>
  <c r="E384" i="39"/>
  <c r="C691" i="42"/>
  <c r="F691" i="42"/>
  <c r="C692" i="42"/>
  <c r="F692" i="42"/>
  <c r="C693" i="42"/>
  <c r="F693" i="42"/>
  <c r="C694" i="42"/>
  <c r="F694" i="42"/>
  <c r="C695" i="42"/>
  <c r="F695" i="42"/>
  <c r="C696" i="42"/>
  <c r="F696" i="42"/>
  <c r="C697" i="42"/>
  <c r="F697" i="42"/>
  <c r="C698" i="42"/>
  <c r="F698" i="42"/>
  <c r="C699" i="42"/>
  <c r="F699" i="42"/>
  <c r="D700" i="42"/>
  <c r="E700" i="42"/>
  <c r="C385" i="39"/>
  <c r="E385" i="39"/>
  <c r="C701" i="42"/>
  <c r="F701" i="42"/>
  <c r="C702" i="42"/>
  <c r="F702" i="42"/>
  <c r="C703" i="42"/>
  <c r="F703" i="42"/>
  <c r="C704" i="42"/>
  <c r="F704" i="42"/>
  <c r="C705" i="42"/>
  <c r="F705" i="42"/>
  <c r="C706" i="42"/>
  <c r="F706" i="42"/>
  <c r="C707" i="42"/>
  <c r="F707" i="42"/>
  <c r="C708" i="42"/>
  <c r="F708" i="42"/>
  <c r="C709" i="42"/>
  <c r="F709" i="42"/>
  <c r="C710" i="42"/>
  <c r="F710" i="42"/>
  <c r="D711" i="42"/>
  <c r="E711" i="42"/>
  <c r="C386" i="39"/>
  <c r="E386" i="39"/>
  <c r="C714" i="42"/>
  <c r="F714" i="42"/>
  <c r="C715" i="42"/>
  <c r="F715" i="42"/>
  <c r="C716" i="42"/>
  <c r="F716" i="42"/>
  <c r="C717" i="42"/>
  <c r="F717" i="42"/>
  <c r="C718" i="42"/>
  <c r="F718" i="42"/>
  <c r="C719" i="42"/>
  <c r="F719" i="42"/>
  <c r="C720" i="42"/>
  <c r="F720" i="42"/>
  <c r="C721" i="42"/>
  <c r="F721" i="42"/>
  <c r="D722" i="42"/>
  <c r="E722" i="42"/>
  <c r="C387" i="39"/>
  <c r="E387" i="39"/>
  <c r="C724" i="42"/>
  <c r="F724" i="42"/>
  <c r="C725" i="42"/>
  <c r="F725" i="42"/>
  <c r="C726" i="42"/>
  <c r="F726" i="42"/>
  <c r="C727" i="42"/>
  <c r="F727" i="42"/>
  <c r="C728" i="42"/>
  <c r="F728" i="42"/>
  <c r="C729" i="42"/>
  <c r="F729" i="42"/>
  <c r="C730" i="42"/>
  <c r="F730" i="42"/>
  <c r="C731" i="42"/>
  <c r="F731" i="42"/>
  <c r="C732" i="42"/>
  <c r="F732" i="42"/>
  <c r="D733" i="42"/>
  <c r="E733" i="42"/>
  <c r="C388" i="39"/>
  <c r="E388" i="39"/>
  <c r="C734" i="42"/>
  <c r="C735" i="42"/>
  <c r="F735" i="42"/>
  <c r="C736" i="42"/>
  <c r="F736" i="42"/>
  <c r="C737" i="42"/>
  <c r="F737" i="42"/>
  <c r="C738" i="42"/>
  <c r="F738" i="42"/>
  <c r="C739" i="42"/>
  <c r="F739" i="42"/>
  <c r="C740" i="42"/>
  <c r="F740" i="42"/>
  <c r="C741" i="42"/>
  <c r="F741" i="42"/>
  <c r="C742" i="42"/>
  <c r="F742" i="42"/>
  <c r="C743" i="42"/>
  <c r="F743" i="42"/>
  <c r="D744" i="42"/>
  <c r="E744" i="42"/>
  <c r="C389" i="39"/>
  <c r="E389" i="39"/>
  <c r="F760" i="42"/>
  <c r="C10" i="41"/>
  <c r="C11" i="41"/>
  <c r="F11" i="41"/>
  <c r="C12" i="41"/>
  <c r="F12" i="41"/>
  <c r="C13" i="41"/>
  <c r="F13" i="41"/>
  <c r="C14" i="41"/>
  <c r="F14" i="41"/>
  <c r="C15" i="41"/>
  <c r="F15" i="41"/>
  <c r="C16" i="41"/>
  <c r="F16" i="41"/>
  <c r="C17" i="41"/>
  <c r="C18" i="41"/>
  <c r="F18" i="41"/>
  <c r="C19" i="41"/>
  <c r="F19" i="41"/>
  <c r="D20" i="41"/>
  <c r="E20" i="41"/>
  <c r="C257" i="39"/>
  <c r="C21" i="41"/>
  <c r="F21" i="41"/>
  <c r="C23" i="41"/>
  <c r="F23" i="41"/>
  <c r="C24" i="41"/>
  <c r="F24" i="41"/>
  <c r="C25" i="41"/>
  <c r="F25" i="41"/>
  <c r="C26" i="41"/>
  <c r="F26" i="41"/>
  <c r="C27" i="41"/>
  <c r="F27" i="41"/>
  <c r="C28" i="41"/>
  <c r="F28" i="41"/>
  <c r="C29" i="41"/>
  <c r="F29" i="41"/>
  <c r="C30" i="41"/>
  <c r="F30" i="41"/>
  <c r="D31" i="41"/>
  <c r="C32" i="41"/>
  <c r="F32" i="41"/>
  <c r="C33" i="41"/>
  <c r="F33" i="41"/>
  <c r="C34" i="41"/>
  <c r="F34" i="41"/>
  <c r="C35" i="41"/>
  <c r="F35" i="41"/>
  <c r="C36" i="41"/>
  <c r="F36" i="41"/>
  <c r="C37" i="41"/>
  <c r="C38" i="41"/>
  <c r="F38" i="41"/>
  <c r="C39" i="41"/>
  <c r="F39" i="41"/>
  <c r="C40" i="41"/>
  <c r="F40" i="41"/>
  <c r="C41" i="41"/>
  <c r="F41" i="41"/>
  <c r="D42" i="41"/>
  <c r="E42" i="41"/>
  <c r="C259" i="39"/>
  <c r="C43" i="41"/>
  <c r="F43" i="41"/>
  <c r="C44" i="41"/>
  <c r="F44" i="41"/>
  <c r="C45" i="41"/>
  <c r="F45" i="41"/>
  <c r="C46" i="41"/>
  <c r="C47" i="41"/>
  <c r="F47" i="41"/>
  <c r="C48" i="41"/>
  <c r="F48" i="41"/>
  <c r="C49" i="41"/>
  <c r="F49" i="41"/>
  <c r="C50" i="41"/>
  <c r="F50" i="41"/>
  <c r="C51" i="41"/>
  <c r="F51" i="41"/>
  <c r="C52" i="41"/>
  <c r="F52" i="41"/>
  <c r="D53" i="41"/>
  <c r="E53" i="41"/>
  <c r="C260" i="39"/>
  <c r="C55" i="41"/>
  <c r="C56" i="41"/>
  <c r="F56" i="41"/>
  <c r="C57" i="41"/>
  <c r="F57" i="41"/>
  <c r="C58" i="41"/>
  <c r="F58" i="41"/>
  <c r="C59" i="41"/>
  <c r="F59" i="41"/>
  <c r="C60" i="41"/>
  <c r="F60" i="41"/>
  <c r="C61" i="41"/>
  <c r="C62" i="41"/>
  <c r="F62" i="41"/>
  <c r="C63" i="41"/>
  <c r="F63" i="41"/>
  <c r="D64" i="41"/>
  <c r="E64" i="41"/>
  <c r="C261" i="39"/>
  <c r="C65" i="41"/>
  <c r="F65" i="41"/>
  <c r="C66" i="41"/>
  <c r="F66" i="41"/>
  <c r="C67" i="41"/>
  <c r="F67" i="41"/>
  <c r="C68" i="41"/>
  <c r="C69" i="41"/>
  <c r="F69" i="41"/>
  <c r="C70" i="41"/>
  <c r="F70" i="41"/>
  <c r="C71" i="41"/>
  <c r="F71" i="41"/>
  <c r="C72" i="41"/>
  <c r="F72" i="41"/>
  <c r="C73" i="41"/>
  <c r="F73" i="41"/>
  <c r="D74" i="41"/>
  <c r="E74" i="41"/>
  <c r="C262" i="39"/>
  <c r="C75" i="41"/>
  <c r="C76" i="41"/>
  <c r="F76" i="41"/>
  <c r="C77" i="41"/>
  <c r="F77" i="41"/>
  <c r="C78" i="41"/>
  <c r="F78" i="41"/>
  <c r="C79" i="41"/>
  <c r="F79" i="41"/>
  <c r="C80" i="41"/>
  <c r="F80" i="41"/>
  <c r="C81" i="41"/>
  <c r="F81" i="41"/>
  <c r="C82" i="41"/>
  <c r="F82" i="41"/>
  <c r="C83" i="41"/>
  <c r="F83" i="41"/>
  <c r="C84" i="41"/>
  <c r="F84" i="41"/>
  <c r="D85" i="41"/>
  <c r="E85" i="41"/>
  <c r="C263" i="39"/>
  <c r="C86" i="41"/>
  <c r="F86" i="41"/>
  <c r="C87" i="41"/>
  <c r="F87" i="41"/>
  <c r="C88" i="41"/>
  <c r="F88" i="41"/>
  <c r="C89" i="41"/>
  <c r="F89" i="41"/>
  <c r="C90" i="41"/>
  <c r="F90" i="41"/>
  <c r="C91" i="41"/>
  <c r="F91" i="41"/>
  <c r="C92" i="41"/>
  <c r="F92" i="41"/>
  <c r="C93" i="41"/>
  <c r="F93" i="41"/>
  <c r="C94" i="41"/>
  <c r="F94" i="41"/>
  <c r="C95" i="41"/>
  <c r="F95" i="41"/>
  <c r="D96" i="41"/>
  <c r="E96" i="41"/>
  <c r="C264" i="39"/>
  <c r="C97" i="41"/>
  <c r="F97" i="41"/>
  <c r="C98" i="41"/>
  <c r="C99" i="41"/>
  <c r="F99" i="41"/>
  <c r="C100" i="41"/>
  <c r="F100" i="41"/>
  <c r="C101" i="41"/>
  <c r="F101" i="41"/>
  <c r="C102" i="41"/>
  <c r="F102" i="41"/>
  <c r="C103" i="41"/>
  <c r="F103" i="41"/>
  <c r="C104" i="41"/>
  <c r="C105" i="41"/>
  <c r="F105" i="41"/>
  <c r="C106" i="41"/>
  <c r="F106" i="41"/>
  <c r="D107" i="41"/>
  <c r="E107" i="41"/>
  <c r="C265" i="39"/>
  <c r="C108" i="41"/>
  <c r="F108" i="41"/>
  <c r="C109" i="41"/>
  <c r="F109" i="41"/>
  <c r="C110" i="41"/>
  <c r="F110" i="41"/>
  <c r="C111" i="41"/>
  <c r="F111" i="41"/>
  <c r="C112" i="41"/>
  <c r="C113" i="41"/>
  <c r="F113" i="41"/>
  <c r="C114" i="41"/>
  <c r="F114" i="41"/>
  <c r="C115" i="41"/>
  <c r="F115" i="41"/>
  <c r="C116" i="41"/>
  <c r="F116" i="41"/>
  <c r="C117" i="41"/>
  <c r="F117" i="41"/>
  <c r="D118" i="41"/>
  <c r="E118" i="41"/>
  <c r="C266" i="39"/>
  <c r="C119" i="41"/>
  <c r="F119" i="41"/>
  <c r="C120" i="41"/>
  <c r="C121" i="41"/>
  <c r="F121" i="41"/>
  <c r="C122" i="41"/>
  <c r="F122" i="41"/>
  <c r="C123" i="41"/>
  <c r="F123" i="41"/>
  <c r="C124" i="41"/>
  <c r="F124" i="41"/>
  <c r="C125" i="41"/>
  <c r="F125" i="41"/>
  <c r="C126" i="41"/>
  <c r="F126" i="41"/>
  <c r="C127" i="41"/>
  <c r="F127" i="41"/>
  <c r="C128" i="41"/>
  <c r="F128" i="41"/>
  <c r="D129" i="41"/>
  <c r="E129" i="41"/>
  <c r="C267" i="39"/>
  <c r="C130" i="41"/>
  <c r="C131" i="41"/>
  <c r="F131" i="41"/>
  <c r="C132" i="41"/>
  <c r="F132" i="41"/>
  <c r="C133" i="41"/>
  <c r="F133" i="41"/>
  <c r="C134" i="41"/>
  <c r="F134" i="41"/>
  <c r="C135" i="41"/>
  <c r="F135" i="41"/>
  <c r="C136" i="41"/>
  <c r="F136" i="41"/>
  <c r="C137" i="41"/>
  <c r="F137" i="41"/>
  <c r="C138" i="41"/>
  <c r="F138" i="41"/>
  <c r="C139" i="41"/>
  <c r="F139" i="41"/>
  <c r="D140" i="41"/>
  <c r="E140" i="41"/>
  <c r="C268" i="39"/>
  <c r="C141" i="41"/>
  <c r="F141" i="41"/>
  <c r="C144" i="41"/>
  <c r="F144" i="41"/>
  <c r="C145" i="41"/>
  <c r="F145" i="41"/>
  <c r="C146" i="41"/>
  <c r="F146" i="41"/>
  <c r="C147" i="41"/>
  <c r="F147" i="41"/>
  <c r="C148" i="41"/>
  <c r="F148" i="41"/>
  <c r="C149" i="41"/>
  <c r="F149" i="41"/>
  <c r="C150" i="41"/>
  <c r="F150" i="41"/>
  <c r="D151" i="41"/>
  <c r="C153" i="41"/>
  <c r="F153" i="41"/>
  <c r="C154" i="41"/>
  <c r="F154" i="41"/>
  <c r="C155" i="41"/>
  <c r="F155" i="41"/>
  <c r="C156" i="41"/>
  <c r="F156" i="41"/>
  <c r="C157" i="41"/>
  <c r="F157" i="41"/>
  <c r="C158" i="41"/>
  <c r="F158" i="41"/>
  <c r="C159" i="41"/>
  <c r="F159" i="41"/>
  <c r="C160" i="41"/>
  <c r="F160" i="41"/>
  <c r="C161" i="41"/>
  <c r="F161" i="41"/>
  <c r="D162" i="41"/>
  <c r="E162" i="41"/>
  <c r="C270" i="39"/>
  <c r="C163" i="41"/>
  <c r="C164" i="41"/>
  <c r="F164" i="41"/>
  <c r="C165" i="41"/>
  <c r="F165" i="41"/>
  <c r="C166" i="41"/>
  <c r="F166" i="41"/>
  <c r="C167" i="41"/>
  <c r="F167" i="41"/>
  <c r="C168" i="41"/>
  <c r="F168" i="41"/>
  <c r="C169" i="41"/>
  <c r="F169" i="41"/>
  <c r="C170" i="41"/>
  <c r="F170" i="41"/>
  <c r="C171" i="41"/>
  <c r="F171" i="41"/>
  <c r="C172" i="41"/>
  <c r="F172" i="41"/>
  <c r="D173" i="41"/>
  <c r="E173" i="41"/>
  <c r="C271" i="39"/>
  <c r="C174" i="41"/>
  <c r="C175" i="41"/>
  <c r="F175" i="41"/>
  <c r="C176" i="41"/>
  <c r="F176" i="41"/>
  <c r="C177" i="41"/>
  <c r="F177" i="41"/>
  <c r="C178" i="41"/>
  <c r="F178" i="41"/>
  <c r="C179" i="41"/>
  <c r="F179" i="41"/>
  <c r="C180" i="41"/>
  <c r="F180" i="41"/>
  <c r="C181" i="41"/>
  <c r="F181" i="41"/>
  <c r="C182" i="41"/>
  <c r="F182" i="41"/>
  <c r="C183" i="41"/>
  <c r="F183" i="41"/>
  <c r="D184" i="41"/>
  <c r="E184" i="41"/>
  <c r="C272" i="39"/>
  <c r="C185" i="41"/>
  <c r="C186" i="41"/>
  <c r="F186" i="41"/>
  <c r="C187" i="41"/>
  <c r="F187" i="41"/>
  <c r="C188" i="41"/>
  <c r="F188" i="41"/>
  <c r="C189" i="41"/>
  <c r="F189" i="41"/>
  <c r="C190" i="41"/>
  <c r="F190" i="41"/>
  <c r="C191" i="41"/>
  <c r="F191" i="41"/>
  <c r="C192" i="41"/>
  <c r="F192" i="41"/>
  <c r="C193" i="41"/>
  <c r="F193" i="41"/>
  <c r="C194" i="41"/>
  <c r="F194" i="41"/>
  <c r="D195" i="41"/>
  <c r="E195" i="41"/>
  <c r="C273" i="39"/>
  <c r="C196" i="41"/>
  <c r="F196" i="41"/>
  <c r="C197" i="41"/>
  <c r="F197" i="41"/>
  <c r="C198" i="41"/>
  <c r="F198" i="41"/>
  <c r="C199" i="41"/>
  <c r="F199" i="41"/>
  <c r="C200" i="41"/>
  <c r="F200" i="41"/>
  <c r="C201" i="41"/>
  <c r="F201" i="41"/>
  <c r="C202" i="41"/>
  <c r="F202" i="41"/>
  <c r="C203" i="41"/>
  <c r="F203" i="41"/>
  <c r="C204" i="41"/>
  <c r="F204" i="41"/>
  <c r="C205" i="41"/>
  <c r="F205" i="41"/>
  <c r="D206" i="41"/>
  <c r="E206" i="41"/>
  <c r="C274" i="39"/>
  <c r="C207" i="41"/>
  <c r="F207" i="41"/>
  <c r="C208" i="41"/>
  <c r="F208" i="41"/>
  <c r="C209" i="41"/>
  <c r="F209" i="41"/>
  <c r="C210" i="41"/>
  <c r="F210" i="41"/>
  <c r="C211" i="41"/>
  <c r="F211" i="41"/>
  <c r="C212" i="41"/>
  <c r="F212" i="41"/>
  <c r="C213" i="41"/>
  <c r="F213" i="41"/>
  <c r="C214" i="41"/>
  <c r="F214" i="41"/>
  <c r="C215" i="41"/>
  <c r="F215" i="41"/>
  <c r="C216" i="41"/>
  <c r="F216" i="41"/>
  <c r="D217" i="41"/>
  <c r="E217" i="41"/>
  <c r="C275" i="39"/>
  <c r="C218" i="41"/>
  <c r="F218" i="41"/>
  <c r="C220" i="41"/>
  <c r="C221" i="41"/>
  <c r="F221" i="41"/>
  <c r="C222" i="41"/>
  <c r="F222" i="41"/>
  <c r="C223" i="41"/>
  <c r="F223" i="41"/>
  <c r="C224" i="41"/>
  <c r="F224" i="41"/>
  <c r="C225" i="41"/>
  <c r="F225" i="41"/>
  <c r="C226" i="41"/>
  <c r="F226" i="41"/>
  <c r="C227" i="41"/>
  <c r="F227" i="41"/>
  <c r="D228" i="41"/>
  <c r="E228" i="41"/>
  <c r="C276" i="39"/>
  <c r="C229" i="41"/>
  <c r="C230" i="41"/>
  <c r="F230" i="41"/>
  <c r="C231" i="41"/>
  <c r="F231" i="41"/>
  <c r="C232" i="41"/>
  <c r="F232" i="41"/>
  <c r="C233" i="41"/>
  <c r="F233" i="41"/>
  <c r="C234" i="41"/>
  <c r="F234" i="41"/>
  <c r="C235" i="41"/>
  <c r="F235" i="41"/>
  <c r="C236" i="41"/>
  <c r="F236" i="41"/>
  <c r="C237" i="41"/>
  <c r="F237" i="41"/>
  <c r="C238" i="41"/>
  <c r="F238" i="41"/>
  <c r="D239" i="41"/>
  <c r="E239" i="41"/>
  <c r="C277" i="39"/>
  <c r="C240" i="41"/>
  <c r="F240" i="41"/>
  <c r="C241" i="41"/>
  <c r="F241" i="41"/>
  <c r="C242" i="41"/>
  <c r="F242" i="41"/>
  <c r="C243" i="41"/>
  <c r="F243" i="41"/>
  <c r="C244" i="41"/>
  <c r="F244" i="41"/>
  <c r="C245" i="41"/>
  <c r="F245" i="41"/>
  <c r="C246" i="41"/>
  <c r="F246" i="41"/>
  <c r="C247" i="41"/>
  <c r="F247" i="41"/>
  <c r="C248" i="41"/>
  <c r="F248" i="41"/>
  <c r="C249" i="41"/>
  <c r="F249" i="41"/>
  <c r="D250" i="41"/>
  <c r="E250" i="41"/>
  <c r="C278" i="39"/>
  <c r="C251" i="41"/>
  <c r="C252" i="41"/>
  <c r="F252" i="41"/>
  <c r="C253" i="41"/>
  <c r="F253" i="41"/>
  <c r="C254" i="41"/>
  <c r="F254" i="41"/>
  <c r="C255" i="41"/>
  <c r="F255" i="41"/>
  <c r="C256" i="41"/>
  <c r="F256" i="41"/>
  <c r="C257" i="41"/>
  <c r="F257" i="41"/>
  <c r="C258" i="41"/>
  <c r="F258" i="41"/>
  <c r="C259" i="41"/>
  <c r="F259" i="41"/>
  <c r="C260" i="41"/>
  <c r="F260" i="41"/>
  <c r="D261" i="41"/>
  <c r="E261" i="41"/>
  <c r="C279" i="39"/>
  <c r="C262" i="41"/>
  <c r="F262" i="41"/>
  <c r="C263" i="41"/>
  <c r="F263" i="41"/>
  <c r="C264" i="41"/>
  <c r="F264" i="41"/>
  <c r="C265" i="41"/>
  <c r="F265" i="41"/>
  <c r="C266" i="41"/>
  <c r="C267" i="41"/>
  <c r="F267" i="41"/>
  <c r="C268" i="41"/>
  <c r="F268" i="41"/>
  <c r="C269" i="41"/>
  <c r="F269" i="41"/>
  <c r="C270" i="41"/>
  <c r="F270" i="41"/>
  <c r="C271" i="41"/>
  <c r="F271" i="41"/>
  <c r="D272" i="41"/>
  <c r="E272" i="41"/>
  <c r="C280" i="39"/>
  <c r="C273" i="41"/>
  <c r="C274" i="41"/>
  <c r="F274" i="41"/>
  <c r="C275" i="41"/>
  <c r="F275" i="41"/>
  <c r="C276" i="41"/>
  <c r="F276" i="41"/>
  <c r="C277" i="41"/>
  <c r="F277" i="41"/>
  <c r="C278" i="41"/>
  <c r="F278" i="41"/>
  <c r="C279" i="41"/>
  <c r="F279" i="41"/>
  <c r="C280" i="41"/>
  <c r="F280" i="41"/>
  <c r="C281" i="41"/>
  <c r="F281" i="41"/>
  <c r="C282" i="41"/>
  <c r="F282" i="41"/>
  <c r="D283" i="41"/>
  <c r="E283" i="41"/>
  <c r="C281" i="39"/>
  <c r="C285" i="41"/>
  <c r="F285" i="41"/>
  <c r="C286" i="41"/>
  <c r="F286" i="41"/>
  <c r="C287" i="41"/>
  <c r="F287" i="41"/>
  <c r="C288" i="41"/>
  <c r="F288" i="41"/>
  <c r="C289" i="41"/>
  <c r="F289" i="41"/>
  <c r="C290" i="41"/>
  <c r="F290" i="41"/>
  <c r="C291" i="41"/>
  <c r="F291" i="41"/>
  <c r="C292" i="41"/>
  <c r="F292" i="41"/>
  <c r="C293" i="41"/>
  <c r="F293" i="41"/>
  <c r="D294" i="41"/>
  <c r="E294" i="41"/>
  <c r="C282" i="39"/>
  <c r="C295" i="41"/>
  <c r="F295" i="41"/>
  <c r="C296" i="41"/>
  <c r="C297" i="41"/>
  <c r="F297" i="41"/>
  <c r="C298" i="41"/>
  <c r="F298" i="41"/>
  <c r="C299" i="41"/>
  <c r="F299" i="41"/>
  <c r="C300" i="41"/>
  <c r="F300" i="41"/>
  <c r="C301" i="41"/>
  <c r="F301" i="41"/>
  <c r="C302" i="41"/>
  <c r="F302" i="41"/>
  <c r="C303" i="41"/>
  <c r="F303" i="41"/>
  <c r="C304" i="41"/>
  <c r="F304" i="41"/>
  <c r="D305" i="41"/>
  <c r="E305" i="41"/>
  <c r="C283" i="39"/>
  <c r="C306" i="41"/>
  <c r="F306" i="41"/>
  <c r="C307" i="41"/>
  <c r="F307" i="41"/>
  <c r="C308" i="41"/>
  <c r="F308" i="41"/>
  <c r="C309" i="41"/>
  <c r="F309" i="41"/>
  <c r="C310" i="41"/>
  <c r="F310" i="41"/>
  <c r="C311" i="41"/>
  <c r="C312" i="41"/>
  <c r="F312" i="41"/>
  <c r="C313" i="41"/>
  <c r="F313" i="41"/>
  <c r="C314" i="41"/>
  <c r="F314" i="41"/>
  <c r="C315" i="41"/>
  <c r="F315" i="41"/>
  <c r="D316" i="41"/>
  <c r="E316" i="41"/>
  <c r="C284" i="39"/>
  <c r="C317" i="41"/>
  <c r="F317" i="41"/>
  <c r="C318" i="41"/>
  <c r="C319" i="41"/>
  <c r="F319" i="41"/>
  <c r="C320" i="41"/>
  <c r="F320" i="41"/>
  <c r="C321" i="41"/>
  <c r="F321" i="41"/>
  <c r="C322" i="41"/>
  <c r="F322" i="41"/>
  <c r="C323" i="41"/>
  <c r="F323" i="41"/>
  <c r="C324" i="41"/>
  <c r="F324" i="41"/>
  <c r="C325" i="41"/>
  <c r="F325" i="41"/>
  <c r="C326" i="41"/>
  <c r="F326" i="41"/>
  <c r="D327" i="41"/>
  <c r="E327" i="41"/>
  <c r="C285" i="39"/>
  <c r="C328" i="41"/>
  <c r="F328" i="41"/>
  <c r="C329" i="41"/>
  <c r="F329" i="41"/>
  <c r="C330" i="41"/>
  <c r="F330" i="41"/>
  <c r="C331" i="41"/>
  <c r="F331" i="41"/>
  <c r="C332" i="41"/>
  <c r="F332" i="41"/>
  <c r="C333" i="41"/>
  <c r="C334" i="41"/>
  <c r="F334" i="41"/>
  <c r="C335" i="41"/>
  <c r="F335" i="41"/>
  <c r="C336" i="41"/>
  <c r="F336" i="41"/>
  <c r="C337" i="41"/>
  <c r="F337" i="41"/>
  <c r="D338" i="41"/>
  <c r="E338" i="41"/>
  <c r="C286" i="39"/>
  <c r="C339" i="41"/>
  <c r="F339" i="41"/>
  <c r="C340" i="41"/>
  <c r="C341" i="41"/>
  <c r="F341" i="41"/>
  <c r="C342" i="41"/>
  <c r="F342" i="41"/>
  <c r="C343" i="41"/>
  <c r="F343" i="41"/>
  <c r="C344" i="41"/>
  <c r="F344" i="41"/>
  <c r="C345" i="41"/>
  <c r="C346" i="41"/>
  <c r="F346" i="41"/>
  <c r="C347" i="41"/>
  <c r="F347" i="41"/>
  <c r="C348" i="41"/>
  <c r="F348" i="41"/>
  <c r="D349" i="41"/>
  <c r="E349" i="41"/>
  <c r="C287" i="39"/>
  <c r="C350" i="41"/>
  <c r="F350" i="41"/>
  <c r="C351" i="41"/>
  <c r="F351" i="41"/>
  <c r="C352" i="41"/>
  <c r="F352" i="41"/>
  <c r="C353" i="41"/>
  <c r="F353" i="41"/>
  <c r="C354" i="41"/>
  <c r="F354" i="41"/>
  <c r="C355" i="41"/>
  <c r="F355" i="41"/>
  <c r="C356" i="41"/>
  <c r="F356" i="41"/>
  <c r="C357" i="41"/>
  <c r="F357" i="41"/>
  <c r="C358" i="41"/>
  <c r="F358" i="41"/>
  <c r="C359" i="41"/>
  <c r="F359" i="41"/>
  <c r="D360" i="41"/>
  <c r="E360" i="41"/>
  <c r="C288" i="39"/>
  <c r="C361" i="41"/>
  <c r="F361" i="41"/>
  <c r="C362" i="41"/>
  <c r="F362" i="41"/>
  <c r="C363" i="41"/>
  <c r="F363" i="41"/>
  <c r="C364" i="41"/>
  <c r="F364" i="41"/>
  <c r="C365" i="41"/>
  <c r="F365" i="41"/>
  <c r="C366" i="41"/>
  <c r="F366" i="41"/>
  <c r="C367" i="41"/>
  <c r="F367" i="41"/>
  <c r="C368" i="41"/>
  <c r="F368" i="41"/>
  <c r="C369" i="41"/>
  <c r="F369" i="41"/>
  <c r="D370" i="41"/>
  <c r="E370" i="41"/>
  <c r="C289" i="39"/>
  <c r="C371" i="41"/>
  <c r="F371" i="41"/>
  <c r="C372" i="41"/>
  <c r="F372" i="41"/>
  <c r="C373" i="41"/>
  <c r="F373" i="41"/>
  <c r="C374" i="41"/>
  <c r="F374" i="41"/>
  <c r="C375" i="41"/>
  <c r="F375" i="41"/>
  <c r="C376" i="41"/>
  <c r="F376" i="41"/>
  <c r="C377" i="41"/>
  <c r="F377" i="41"/>
  <c r="C378" i="41"/>
  <c r="F378" i="41"/>
  <c r="C379" i="41"/>
  <c r="F379" i="41"/>
  <c r="C380" i="41"/>
  <c r="F380" i="41"/>
  <c r="D381" i="41"/>
  <c r="E381" i="41"/>
  <c r="C290" i="39"/>
  <c r="C382" i="41"/>
  <c r="F382" i="41"/>
  <c r="C383" i="41"/>
  <c r="F383" i="41"/>
  <c r="C384" i="41"/>
  <c r="F384" i="41"/>
  <c r="C385" i="41"/>
  <c r="F385" i="41"/>
  <c r="C386" i="41"/>
  <c r="F386" i="41"/>
  <c r="C387" i="41"/>
  <c r="F387" i="41"/>
  <c r="C388" i="41"/>
  <c r="F388" i="41"/>
  <c r="C389" i="41"/>
  <c r="F389" i="41"/>
  <c r="C390" i="41"/>
  <c r="F390" i="41"/>
  <c r="C391" i="41"/>
  <c r="F391" i="41"/>
  <c r="D392" i="41"/>
  <c r="E392" i="41"/>
  <c r="C291" i="39"/>
  <c r="C393" i="41"/>
  <c r="C394" i="41"/>
  <c r="F394" i="41"/>
  <c r="C395" i="41"/>
  <c r="F395" i="41"/>
  <c r="C396" i="41"/>
  <c r="F396" i="41"/>
  <c r="C397" i="41"/>
  <c r="F397" i="41"/>
  <c r="C398" i="41"/>
  <c r="F398" i="41"/>
  <c r="C399" i="41"/>
  <c r="F399" i="41"/>
  <c r="C400" i="41"/>
  <c r="F400" i="41"/>
  <c r="C401" i="41"/>
  <c r="F401" i="41"/>
  <c r="C402" i="41"/>
  <c r="F402" i="41"/>
  <c r="D403" i="41"/>
  <c r="E403" i="41"/>
  <c r="C292" i="39"/>
  <c r="C404" i="41"/>
  <c r="E405" i="41"/>
  <c r="E414" i="41"/>
  <c r="C293" i="39"/>
  <c r="C407" i="41"/>
  <c r="F407" i="41"/>
  <c r="C408" i="41"/>
  <c r="F408" i="41"/>
  <c r="C409" i="41"/>
  <c r="F409" i="41"/>
  <c r="C410" i="41"/>
  <c r="F410" i="41"/>
  <c r="C411" i="41"/>
  <c r="F411" i="41"/>
  <c r="C412" i="41"/>
  <c r="F412" i="41"/>
  <c r="C413" i="41"/>
  <c r="F413" i="41"/>
  <c r="D414" i="41"/>
  <c r="C415" i="41"/>
  <c r="C416" i="41"/>
  <c r="F416" i="41"/>
  <c r="C417" i="41"/>
  <c r="F417" i="41"/>
  <c r="C418" i="41"/>
  <c r="F418" i="41"/>
  <c r="C419" i="41"/>
  <c r="F419" i="41"/>
  <c r="C420" i="41"/>
  <c r="F420" i="41"/>
  <c r="C421" i="41"/>
  <c r="F421" i="41"/>
  <c r="C422" i="41"/>
  <c r="F422" i="41"/>
  <c r="C423" i="41"/>
  <c r="F423" i="41"/>
  <c r="C424" i="41"/>
  <c r="F424" i="41"/>
  <c r="D425" i="41"/>
  <c r="E425" i="41"/>
  <c r="C294" i="39"/>
  <c r="C426" i="41"/>
  <c r="C427" i="41"/>
  <c r="F427" i="41"/>
  <c r="C428" i="41"/>
  <c r="F428" i="41"/>
  <c r="C429" i="41"/>
  <c r="F429" i="41"/>
  <c r="C430" i="41"/>
  <c r="F430" i="41"/>
  <c r="C431" i="41"/>
  <c r="F431" i="41"/>
  <c r="C432" i="41"/>
  <c r="F432" i="41"/>
  <c r="C433" i="41"/>
  <c r="F433" i="41"/>
  <c r="C434" i="41"/>
  <c r="F434" i="41"/>
  <c r="C435" i="41"/>
  <c r="F435" i="41"/>
  <c r="D436" i="41"/>
  <c r="E436" i="41"/>
  <c r="C295" i="39"/>
  <c r="C437" i="41"/>
  <c r="F437" i="41"/>
  <c r="C438" i="41"/>
  <c r="C439" i="41"/>
  <c r="F439" i="41"/>
  <c r="C440" i="41"/>
  <c r="F440" i="41"/>
  <c r="C441" i="41"/>
  <c r="F441" i="41"/>
  <c r="C442" i="41"/>
  <c r="F442" i="41"/>
  <c r="C443" i="41"/>
  <c r="F443" i="41"/>
  <c r="C444" i="41"/>
  <c r="F444" i="41"/>
  <c r="C445" i="41"/>
  <c r="F445" i="41"/>
  <c r="C446" i="41"/>
  <c r="F446" i="41"/>
  <c r="D447" i="41"/>
  <c r="E447" i="41"/>
  <c r="C296" i="39"/>
  <c r="C448" i="41"/>
  <c r="C449" i="41"/>
  <c r="F449" i="41"/>
  <c r="C450" i="41"/>
  <c r="C451" i="41"/>
  <c r="F451" i="41"/>
  <c r="C452" i="41"/>
  <c r="F452" i="41"/>
  <c r="C453" i="41"/>
  <c r="F453" i="41"/>
  <c r="C454" i="41"/>
  <c r="F454" i="41"/>
  <c r="C455" i="41"/>
  <c r="F455" i="41"/>
  <c r="C456" i="41"/>
  <c r="F456" i="41"/>
  <c r="C457" i="41"/>
  <c r="F457" i="41"/>
  <c r="D458" i="41"/>
  <c r="E458" i="41"/>
  <c r="C297" i="39"/>
  <c r="C459" i="41"/>
  <c r="F459" i="41"/>
  <c r="C460" i="41"/>
  <c r="F460" i="41"/>
  <c r="C461" i="41"/>
  <c r="F461" i="41"/>
  <c r="C462" i="41"/>
  <c r="F462" i="41"/>
  <c r="C463" i="41"/>
  <c r="F463" i="41"/>
  <c r="C464" i="41"/>
  <c r="F464" i="41"/>
  <c r="C465" i="41"/>
  <c r="F465" i="41"/>
  <c r="C466" i="41"/>
  <c r="F466" i="41"/>
  <c r="C467" i="41"/>
  <c r="F467" i="41"/>
  <c r="C468" i="41"/>
  <c r="F468" i="41"/>
  <c r="D469" i="41"/>
  <c r="E469" i="41"/>
  <c r="C298" i="39"/>
  <c r="C470" i="41"/>
  <c r="C471" i="41"/>
  <c r="F471" i="41"/>
  <c r="C472" i="41"/>
  <c r="F472" i="41"/>
  <c r="C473" i="41"/>
  <c r="F473" i="41"/>
  <c r="C474" i="41"/>
  <c r="F474" i="41"/>
  <c r="C475" i="41"/>
  <c r="F475" i="41"/>
  <c r="C476" i="41"/>
  <c r="F476" i="41"/>
  <c r="C477" i="41"/>
  <c r="F477" i="41"/>
  <c r="C478" i="41"/>
  <c r="F478" i="41"/>
  <c r="C479" i="41"/>
  <c r="F479" i="41"/>
  <c r="D480" i="41"/>
  <c r="E480" i="41"/>
  <c r="C299" i="39"/>
  <c r="C481" i="41"/>
  <c r="F481" i="41"/>
  <c r="C482" i="41"/>
  <c r="C483" i="41"/>
  <c r="F483" i="41"/>
  <c r="C484" i="41"/>
  <c r="F484" i="41"/>
  <c r="C485" i="41"/>
  <c r="F485" i="41"/>
  <c r="C486" i="41"/>
  <c r="F486" i="41"/>
  <c r="C487" i="41"/>
  <c r="F487" i="41"/>
  <c r="C488" i="41"/>
  <c r="F488" i="41"/>
  <c r="C489" i="41"/>
  <c r="F489" i="41"/>
  <c r="C490" i="41"/>
  <c r="F490" i="41"/>
  <c r="D491" i="41"/>
  <c r="E491" i="41"/>
  <c r="C300" i="39"/>
  <c r="C492" i="41"/>
  <c r="F492" i="41"/>
  <c r="C493" i="41"/>
  <c r="F493" i="41"/>
  <c r="C494" i="41"/>
  <c r="F494" i="41"/>
  <c r="C495" i="41"/>
  <c r="F495" i="41"/>
  <c r="C496" i="41"/>
  <c r="F496" i="41"/>
  <c r="C497" i="41"/>
  <c r="F497" i="41"/>
  <c r="C498" i="41"/>
  <c r="F498" i="41"/>
  <c r="C499" i="41"/>
  <c r="F499" i="41"/>
  <c r="C500" i="41"/>
  <c r="F500" i="41"/>
  <c r="C501" i="41"/>
  <c r="F501" i="41"/>
  <c r="D502" i="41"/>
  <c r="E502" i="41"/>
  <c r="C301" i="39"/>
  <c r="C503" i="41"/>
  <c r="F503" i="41"/>
  <c r="C504" i="41"/>
  <c r="F504" i="41"/>
  <c r="C505" i="41"/>
  <c r="F505" i="41"/>
  <c r="C506" i="41"/>
  <c r="F506" i="41"/>
  <c r="C507" i="41"/>
  <c r="F507" i="41"/>
  <c r="C508" i="41"/>
  <c r="F508" i="41"/>
  <c r="C509" i="41"/>
  <c r="F509" i="41"/>
  <c r="C510" i="41"/>
  <c r="F510" i="41"/>
  <c r="C511" i="41"/>
  <c r="F511" i="41"/>
  <c r="C512" i="41"/>
  <c r="F512" i="41"/>
  <c r="D513" i="41"/>
  <c r="E513" i="41"/>
  <c r="C302" i="39"/>
  <c r="C514" i="41"/>
  <c r="F514" i="41"/>
  <c r="C515" i="41"/>
  <c r="F515" i="41"/>
  <c r="C516" i="41"/>
  <c r="F516" i="41"/>
  <c r="C517" i="41"/>
  <c r="F517" i="41"/>
  <c r="C518" i="41"/>
  <c r="F518" i="41"/>
  <c r="C519" i="41"/>
  <c r="F519" i="41"/>
  <c r="C520" i="41"/>
  <c r="F520" i="41"/>
  <c r="C521" i="41"/>
  <c r="F521" i="41"/>
  <c r="C522" i="41"/>
  <c r="F522" i="41"/>
  <c r="C523" i="41"/>
  <c r="F523" i="41"/>
  <c r="D524" i="41"/>
  <c r="E524" i="41"/>
  <c r="C303" i="39"/>
  <c r="C525" i="41"/>
  <c r="F525" i="41"/>
  <c r="C526" i="41"/>
  <c r="C527" i="41"/>
  <c r="F527" i="41"/>
  <c r="C528" i="41"/>
  <c r="F528" i="41"/>
  <c r="C529" i="41"/>
  <c r="F529" i="41"/>
  <c r="C530" i="41"/>
  <c r="F530" i="41"/>
  <c r="C531" i="41"/>
  <c r="F531" i="41"/>
  <c r="C532" i="41"/>
  <c r="F532" i="41"/>
  <c r="C533" i="41"/>
  <c r="F533" i="41"/>
  <c r="C534" i="41"/>
  <c r="F534" i="41"/>
  <c r="D535" i="41"/>
  <c r="E535" i="41"/>
  <c r="C304" i="39"/>
  <c r="C536" i="41"/>
  <c r="F536" i="41"/>
  <c r="C537" i="41"/>
  <c r="C538" i="41"/>
  <c r="F538" i="41"/>
  <c r="C539" i="41"/>
  <c r="F539" i="41"/>
  <c r="C540" i="41"/>
  <c r="F540" i="41"/>
  <c r="C541" i="41"/>
  <c r="F541" i="41"/>
  <c r="C542" i="41"/>
  <c r="F542" i="41"/>
  <c r="C543" i="41"/>
  <c r="F543" i="41"/>
  <c r="C544" i="41"/>
  <c r="F544" i="41"/>
  <c r="C545" i="41"/>
  <c r="F545" i="41"/>
  <c r="D546" i="41"/>
  <c r="E546" i="41"/>
  <c r="C305" i="39"/>
  <c r="C547" i="41"/>
  <c r="C548" i="41"/>
  <c r="F548" i="41"/>
  <c r="F549" i="41"/>
  <c r="C550" i="41"/>
  <c r="F550" i="41"/>
  <c r="C551" i="41"/>
  <c r="F551" i="41"/>
  <c r="C552" i="41"/>
  <c r="F552" i="41"/>
  <c r="C553" i="41"/>
  <c r="F553" i="41"/>
  <c r="C554" i="41"/>
  <c r="F554" i="41"/>
  <c r="C555" i="41"/>
  <c r="F555" i="41"/>
  <c r="C556" i="41"/>
  <c r="F556" i="41"/>
  <c r="D557" i="41"/>
  <c r="E557" i="41"/>
  <c r="C306" i="39"/>
  <c r="C558" i="41"/>
  <c r="C559" i="41"/>
  <c r="F559" i="41"/>
  <c r="C560" i="41"/>
  <c r="F560" i="41"/>
  <c r="C561" i="41"/>
  <c r="F561" i="41"/>
  <c r="C562" i="41"/>
  <c r="F562" i="41"/>
  <c r="C563" i="41"/>
  <c r="F563" i="41"/>
  <c r="C564" i="41"/>
  <c r="F564" i="41"/>
  <c r="C565" i="41"/>
  <c r="F565" i="41"/>
  <c r="C566" i="41"/>
  <c r="F566" i="41"/>
  <c r="C567" i="41"/>
  <c r="F567" i="41"/>
  <c r="D568" i="41"/>
  <c r="E568" i="41"/>
  <c r="C307" i="39"/>
  <c r="C569" i="41"/>
  <c r="F569" i="41"/>
  <c r="C570" i="41"/>
  <c r="F570" i="41"/>
  <c r="C571" i="41"/>
  <c r="F571" i="41"/>
  <c r="C572" i="41"/>
  <c r="F572" i="41"/>
  <c r="C573" i="41"/>
  <c r="F573" i="41"/>
  <c r="C574" i="41"/>
  <c r="F574" i="41"/>
  <c r="C575" i="41"/>
  <c r="F575" i="41"/>
  <c r="C576" i="41"/>
  <c r="F576" i="41"/>
  <c r="C577" i="41"/>
  <c r="F577" i="41"/>
  <c r="C578" i="41"/>
  <c r="F578" i="41"/>
  <c r="D579" i="41"/>
  <c r="E579" i="41"/>
  <c r="C308" i="39"/>
  <c r="C580" i="41"/>
  <c r="F580" i="41"/>
  <c r="C581" i="41"/>
  <c r="F581" i="41"/>
  <c r="C582" i="41"/>
  <c r="F582" i="41"/>
  <c r="C583" i="41"/>
  <c r="F583" i="41"/>
  <c r="C584" i="41"/>
  <c r="F584" i="41"/>
  <c r="C585" i="41"/>
  <c r="F585" i="41"/>
  <c r="C586" i="41"/>
  <c r="F586" i="41"/>
  <c r="C587" i="41"/>
  <c r="F587" i="41"/>
  <c r="C588" i="41"/>
  <c r="F588" i="41"/>
  <c r="C589" i="41"/>
  <c r="F589" i="41"/>
  <c r="D590" i="41"/>
  <c r="E590" i="41"/>
  <c r="C309" i="39"/>
  <c r="C591" i="41"/>
  <c r="F591" i="41"/>
  <c r="C592" i="41"/>
  <c r="F592" i="41"/>
  <c r="C593" i="41"/>
  <c r="F593" i="41"/>
  <c r="C594" i="41"/>
  <c r="F594" i="41"/>
  <c r="C595" i="41"/>
  <c r="F595" i="41"/>
  <c r="C596" i="41"/>
  <c r="F596" i="41"/>
  <c r="C597" i="41"/>
  <c r="F597" i="41"/>
  <c r="C598" i="41"/>
  <c r="F598" i="41"/>
  <c r="C599" i="41"/>
  <c r="F599" i="41"/>
  <c r="C600" i="41"/>
  <c r="F600" i="41"/>
  <c r="D601" i="41"/>
  <c r="E601" i="41"/>
  <c r="C310" i="39"/>
  <c r="C602" i="41"/>
  <c r="F602" i="41"/>
  <c r="C603" i="41"/>
  <c r="F603" i="41"/>
  <c r="C604" i="41"/>
  <c r="F604" i="41"/>
  <c r="C605" i="41"/>
  <c r="F605" i="41"/>
  <c r="C606" i="41"/>
  <c r="F606" i="41"/>
  <c r="C607" i="41"/>
  <c r="F607" i="41"/>
  <c r="C608" i="41"/>
  <c r="F608" i="41"/>
  <c r="C609" i="41"/>
  <c r="F609" i="41"/>
  <c r="C610" i="41"/>
  <c r="F610" i="41"/>
  <c r="C611" i="41"/>
  <c r="F611" i="41"/>
  <c r="D612" i="41"/>
  <c r="E612" i="41"/>
  <c r="C311" i="39"/>
  <c r="C613" i="41"/>
  <c r="F613" i="41"/>
  <c r="C614" i="41"/>
  <c r="F614" i="41"/>
  <c r="C615" i="41"/>
  <c r="F615" i="41"/>
  <c r="C616" i="41"/>
  <c r="F616" i="41"/>
  <c r="C617" i="41"/>
  <c r="F617" i="41"/>
  <c r="C618" i="41"/>
  <c r="F618" i="41"/>
  <c r="C619" i="41"/>
  <c r="F619" i="41"/>
  <c r="C620" i="41"/>
  <c r="F620" i="41"/>
  <c r="C621" i="41"/>
  <c r="F621" i="41"/>
  <c r="C622" i="41"/>
  <c r="F622" i="41"/>
  <c r="D623" i="41"/>
  <c r="E623" i="41"/>
  <c r="C312" i="39"/>
  <c r="C624" i="41"/>
  <c r="C625" i="41"/>
  <c r="F625" i="41"/>
  <c r="C626" i="41"/>
  <c r="F626" i="41"/>
  <c r="C627" i="41"/>
  <c r="F627" i="41"/>
  <c r="C628" i="41"/>
  <c r="F628" i="41"/>
  <c r="C629" i="41"/>
  <c r="F629" i="41"/>
  <c r="C630" i="41"/>
  <c r="F630" i="41"/>
  <c r="C631" i="41"/>
  <c r="F631" i="41"/>
  <c r="C632" i="41"/>
  <c r="F632" i="41"/>
  <c r="C633" i="41"/>
  <c r="F633" i="41"/>
  <c r="D634" i="41"/>
  <c r="E634" i="41"/>
  <c r="C313" i="39"/>
  <c r="C635" i="41"/>
  <c r="F635" i="41"/>
  <c r="C636" i="41"/>
  <c r="F636" i="41"/>
  <c r="C637" i="41"/>
  <c r="F637" i="41"/>
  <c r="C638" i="41"/>
  <c r="F638" i="41"/>
  <c r="C639" i="41"/>
  <c r="F639" i="41"/>
  <c r="C640" i="41"/>
  <c r="F640" i="41"/>
  <c r="C641" i="41"/>
  <c r="F641" i="41"/>
  <c r="C642" i="41"/>
  <c r="F642" i="41"/>
  <c r="C643" i="41"/>
  <c r="F643" i="41"/>
  <c r="C644" i="41"/>
  <c r="F644" i="41"/>
  <c r="D645" i="41"/>
  <c r="E645" i="41"/>
  <c r="C314" i="39"/>
  <c r="C646" i="41"/>
  <c r="C647" i="41"/>
  <c r="F647" i="41"/>
  <c r="C648" i="41"/>
  <c r="F648" i="41"/>
  <c r="C649" i="41"/>
  <c r="F649" i="41"/>
  <c r="C650" i="41"/>
  <c r="F650" i="41"/>
  <c r="C651" i="41"/>
  <c r="F651" i="41"/>
  <c r="C652" i="41"/>
  <c r="F652" i="41"/>
  <c r="C653" i="41"/>
  <c r="F653" i="41"/>
  <c r="C654" i="41"/>
  <c r="F654" i="41"/>
  <c r="C655" i="41"/>
  <c r="F655" i="41"/>
  <c r="D656" i="41"/>
  <c r="E656" i="41"/>
  <c r="C315" i="39"/>
  <c r="C657" i="41"/>
  <c r="F657" i="41"/>
  <c r="C659" i="41"/>
  <c r="F659" i="41"/>
  <c r="C660" i="41"/>
  <c r="F660" i="41"/>
  <c r="C661" i="41"/>
  <c r="F661" i="41"/>
  <c r="C662" i="41"/>
  <c r="F662" i="41"/>
  <c r="C663" i="41"/>
  <c r="F663" i="41"/>
  <c r="C664" i="41"/>
  <c r="F664" i="41"/>
  <c r="C665" i="41"/>
  <c r="F665" i="41"/>
  <c r="C666" i="41"/>
  <c r="F666" i="41"/>
  <c r="D667" i="41"/>
  <c r="E667" i="41"/>
  <c r="C316" i="39"/>
  <c r="C668" i="41"/>
  <c r="F668" i="41"/>
  <c r="C669" i="41"/>
  <c r="F669" i="41"/>
  <c r="C670" i="41"/>
  <c r="F670" i="41"/>
  <c r="C671" i="41"/>
  <c r="F671" i="41"/>
  <c r="C672" i="41"/>
  <c r="F672" i="41"/>
  <c r="C673" i="41"/>
  <c r="F673" i="41"/>
  <c r="C674" i="41"/>
  <c r="F674" i="41"/>
  <c r="C675" i="41"/>
  <c r="F675" i="41"/>
  <c r="C676" i="41"/>
  <c r="F676" i="41"/>
  <c r="C677" i="41"/>
  <c r="F677" i="41"/>
  <c r="D678" i="41"/>
  <c r="E678" i="41"/>
  <c r="C317" i="39"/>
  <c r="C679" i="41"/>
  <c r="F679" i="41"/>
  <c r="C680" i="41"/>
  <c r="F680" i="41"/>
  <c r="C681" i="41"/>
  <c r="F681" i="41"/>
  <c r="C682" i="41"/>
  <c r="F682" i="41"/>
  <c r="C683" i="41"/>
  <c r="F683" i="41"/>
  <c r="C684" i="41"/>
  <c r="F684" i="41"/>
  <c r="C685" i="41"/>
  <c r="F685" i="41"/>
  <c r="C686" i="41"/>
  <c r="F686" i="41"/>
  <c r="C687" i="41"/>
  <c r="F687" i="41"/>
  <c r="C688" i="41"/>
  <c r="F688" i="41"/>
  <c r="D689" i="41"/>
  <c r="E689" i="41"/>
  <c r="C318" i="39"/>
  <c r="C690" i="41"/>
  <c r="F690" i="41"/>
  <c r="C691" i="41"/>
  <c r="F691" i="41"/>
  <c r="C692" i="41"/>
  <c r="F692" i="41"/>
  <c r="C693" i="41"/>
  <c r="F693" i="41"/>
  <c r="C694" i="41"/>
  <c r="F694" i="41"/>
  <c r="C695" i="41"/>
  <c r="F695" i="41"/>
  <c r="C696" i="41"/>
  <c r="F696" i="41"/>
  <c r="C697" i="41"/>
  <c r="F697" i="41"/>
  <c r="C698" i="41"/>
  <c r="F698" i="41"/>
  <c r="C699" i="41"/>
  <c r="F699" i="41"/>
  <c r="D700" i="41"/>
  <c r="E700" i="41"/>
  <c r="C319" i="39"/>
  <c r="C701" i="41"/>
  <c r="F701" i="41"/>
  <c r="C702" i="41"/>
  <c r="F702" i="41"/>
  <c r="C703" i="41"/>
  <c r="F703" i="41"/>
  <c r="C704" i="41"/>
  <c r="F704" i="41"/>
  <c r="C705" i="41"/>
  <c r="F705" i="41"/>
  <c r="C706" i="41"/>
  <c r="F706" i="41"/>
  <c r="C707" i="41"/>
  <c r="F707" i="41"/>
  <c r="C708" i="41"/>
  <c r="F708" i="41"/>
  <c r="C709" i="41"/>
  <c r="F709" i="41"/>
  <c r="C710" i="41"/>
  <c r="F710" i="41"/>
  <c r="D711" i="41"/>
  <c r="E711" i="41"/>
  <c r="C320" i="39"/>
  <c r="C712" i="41"/>
  <c r="F712" i="41"/>
  <c r="C713" i="41"/>
  <c r="F713" i="41"/>
  <c r="C714" i="41"/>
  <c r="F714" i="41"/>
  <c r="C715" i="41"/>
  <c r="F715" i="41"/>
  <c r="C716" i="41"/>
  <c r="F716" i="41"/>
  <c r="C717" i="41"/>
  <c r="F717" i="41"/>
  <c r="C718" i="41"/>
  <c r="F718" i="41"/>
  <c r="C719" i="41"/>
  <c r="F719" i="41"/>
  <c r="C720" i="41"/>
  <c r="F720" i="41"/>
  <c r="C721" i="41"/>
  <c r="F721" i="41"/>
  <c r="D722" i="41"/>
  <c r="E722" i="41"/>
  <c r="C321" i="39"/>
  <c r="C723" i="41"/>
  <c r="F723" i="41"/>
  <c r="C724" i="41"/>
  <c r="F724" i="41"/>
  <c r="C725" i="41"/>
  <c r="F725" i="41"/>
  <c r="C726" i="41"/>
  <c r="F726" i="41"/>
  <c r="C727" i="41"/>
  <c r="F727" i="41"/>
  <c r="C728" i="41"/>
  <c r="F728" i="41"/>
  <c r="C729" i="41"/>
  <c r="F729" i="41"/>
  <c r="C730" i="41"/>
  <c r="F730" i="41"/>
  <c r="C731" i="41"/>
  <c r="F731" i="41"/>
  <c r="C732" i="41"/>
  <c r="F732" i="41"/>
  <c r="D733" i="41"/>
  <c r="E733" i="41"/>
  <c r="C322" i="39"/>
  <c r="F739" i="41"/>
  <c r="F740" i="41"/>
  <c r="F742" i="41"/>
  <c r="F743" i="41"/>
  <c r="F744" i="41"/>
  <c r="F745" i="41"/>
  <c r="E746" i="41"/>
  <c r="E747" i="41"/>
  <c r="C10" i="36"/>
  <c r="D10" i="36"/>
  <c r="C11" i="36"/>
  <c r="F11" i="36"/>
  <c r="D11" i="36"/>
  <c r="C14" i="36"/>
  <c r="C15" i="36"/>
  <c r="F15" i="36"/>
  <c r="C16" i="36"/>
  <c r="F16" i="36"/>
  <c r="C17" i="36"/>
  <c r="F17" i="36"/>
  <c r="C18" i="36"/>
  <c r="C19" i="36"/>
  <c r="F19" i="36"/>
  <c r="D20" i="36"/>
  <c r="C46" i="39"/>
  <c r="E20" i="36"/>
  <c r="C190" i="39"/>
  <c r="C21" i="36"/>
  <c r="F21" i="36"/>
  <c r="C22" i="36"/>
  <c r="F22" i="36"/>
  <c r="C23" i="36"/>
  <c r="F23" i="36"/>
  <c r="C24" i="36"/>
  <c r="F24" i="36"/>
  <c r="C25" i="36"/>
  <c r="F25" i="36"/>
  <c r="C26" i="36"/>
  <c r="F26" i="36"/>
  <c r="C27" i="36"/>
  <c r="F27" i="36"/>
  <c r="C28" i="36"/>
  <c r="F28" i="36"/>
  <c r="C29" i="36"/>
  <c r="F29" i="36"/>
  <c r="C30" i="36"/>
  <c r="D31" i="36"/>
  <c r="E31" i="36"/>
  <c r="C191" i="39"/>
  <c r="C32" i="36"/>
  <c r="C33" i="36"/>
  <c r="F33" i="36"/>
  <c r="C34" i="36"/>
  <c r="F34" i="36"/>
  <c r="C35" i="36"/>
  <c r="F35" i="36"/>
  <c r="C36" i="36"/>
  <c r="F36" i="36"/>
  <c r="C37" i="36"/>
  <c r="F37" i="36"/>
  <c r="C38" i="36"/>
  <c r="F38" i="36"/>
  <c r="C39" i="36"/>
  <c r="F39" i="36"/>
  <c r="C40" i="36"/>
  <c r="F40" i="36"/>
  <c r="C41" i="36"/>
  <c r="F41" i="36"/>
  <c r="D42" i="36"/>
  <c r="E42" i="36"/>
  <c r="C43" i="36"/>
  <c r="F43" i="36"/>
  <c r="C44" i="36"/>
  <c r="C45" i="36"/>
  <c r="F45" i="36"/>
  <c r="C46" i="36"/>
  <c r="F46" i="36"/>
  <c r="C47" i="36"/>
  <c r="F47" i="36"/>
  <c r="C48" i="36"/>
  <c r="F48" i="36"/>
  <c r="C49" i="36"/>
  <c r="F49" i="36"/>
  <c r="C50" i="36"/>
  <c r="C51" i="36"/>
  <c r="F51" i="36"/>
  <c r="C52" i="36"/>
  <c r="F52" i="36"/>
  <c r="D53" i="36"/>
  <c r="C49" i="39"/>
  <c r="E53" i="36"/>
  <c r="C193" i="39"/>
  <c r="C54" i="36"/>
  <c r="F54" i="36"/>
  <c r="C55" i="36"/>
  <c r="F55" i="36"/>
  <c r="C56" i="36"/>
  <c r="C57" i="36"/>
  <c r="F57" i="36"/>
  <c r="C58" i="36"/>
  <c r="F58" i="36"/>
  <c r="C59" i="36"/>
  <c r="F59" i="36"/>
  <c r="C60" i="36"/>
  <c r="F60" i="36"/>
  <c r="C61" i="36"/>
  <c r="F61" i="36"/>
  <c r="C62" i="36"/>
  <c r="F62" i="36"/>
  <c r="C63" i="36"/>
  <c r="F63" i="36"/>
  <c r="D64" i="36"/>
  <c r="E64" i="36"/>
  <c r="C194" i="39"/>
  <c r="C66" i="36"/>
  <c r="F66" i="36"/>
  <c r="C67" i="36"/>
  <c r="C68" i="36"/>
  <c r="F68" i="36"/>
  <c r="C69" i="36"/>
  <c r="F69" i="36"/>
  <c r="C70" i="36"/>
  <c r="F70" i="36"/>
  <c r="C71" i="36"/>
  <c r="F71" i="36"/>
  <c r="C72" i="36"/>
  <c r="F72" i="36"/>
  <c r="C73" i="36"/>
  <c r="F73" i="36"/>
  <c r="C74" i="36"/>
  <c r="D75" i="36"/>
  <c r="C51" i="39"/>
  <c r="E75" i="36"/>
  <c r="C195" i="39"/>
  <c r="C76" i="36"/>
  <c r="C77" i="36"/>
  <c r="F77" i="36"/>
  <c r="C78" i="36"/>
  <c r="C79" i="36"/>
  <c r="F79" i="36"/>
  <c r="C80" i="36"/>
  <c r="F80" i="36"/>
  <c r="C81" i="36"/>
  <c r="F81" i="36"/>
  <c r="C82" i="36"/>
  <c r="F82" i="36"/>
  <c r="C83" i="36"/>
  <c r="F83" i="36"/>
  <c r="C84" i="36"/>
  <c r="F84" i="36"/>
  <c r="C85" i="36"/>
  <c r="F85" i="36"/>
  <c r="D86" i="36"/>
  <c r="C52" i="39"/>
  <c r="E86" i="36"/>
  <c r="C196" i="39"/>
  <c r="C87" i="36"/>
  <c r="C88" i="36"/>
  <c r="F88" i="36"/>
  <c r="C89" i="36"/>
  <c r="F89" i="36"/>
  <c r="C90" i="36"/>
  <c r="F90" i="36"/>
  <c r="C91" i="36"/>
  <c r="F91" i="36"/>
  <c r="C92" i="36"/>
  <c r="F92" i="36"/>
  <c r="C93" i="36"/>
  <c r="F93" i="36"/>
  <c r="C94" i="36"/>
  <c r="F94" i="36"/>
  <c r="C95" i="36"/>
  <c r="F95" i="36"/>
  <c r="C96" i="36"/>
  <c r="F96" i="36"/>
  <c r="D97" i="36"/>
  <c r="C53" i="39"/>
  <c r="E97" i="36"/>
  <c r="C197" i="39"/>
  <c r="C98" i="36"/>
  <c r="C99" i="36"/>
  <c r="F99" i="36"/>
  <c r="C100" i="36"/>
  <c r="F100" i="36"/>
  <c r="C101" i="36"/>
  <c r="F101" i="36"/>
  <c r="C102" i="36"/>
  <c r="F102" i="36"/>
  <c r="C103" i="36"/>
  <c r="F103" i="36"/>
  <c r="C104" i="36"/>
  <c r="F104" i="36"/>
  <c r="C105" i="36"/>
  <c r="F105" i="36"/>
  <c r="C106" i="36"/>
  <c r="F106" i="36"/>
  <c r="C107" i="36"/>
  <c r="F107" i="36"/>
  <c r="D108" i="36"/>
  <c r="C54" i="39"/>
  <c r="E108" i="36"/>
  <c r="C198" i="39"/>
  <c r="C109" i="36"/>
  <c r="F109" i="36"/>
  <c r="C110" i="36"/>
  <c r="C119" i="36"/>
  <c r="C111" i="36"/>
  <c r="F111" i="36"/>
  <c r="C112" i="36"/>
  <c r="F112" i="36"/>
  <c r="C113" i="36"/>
  <c r="F113" i="36"/>
  <c r="C114" i="36"/>
  <c r="F114" i="36"/>
  <c r="C115" i="36"/>
  <c r="F115" i="36"/>
  <c r="C116" i="36"/>
  <c r="F116" i="36"/>
  <c r="C117" i="36"/>
  <c r="F117" i="36"/>
  <c r="C118" i="36"/>
  <c r="F118" i="36"/>
  <c r="D119" i="36"/>
  <c r="C55" i="39"/>
  <c r="E119" i="36"/>
  <c r="C199" i="39"/>
  <c r="C120" i="36"/>
  <c r="C121" i="36"/>
  <c r="F121" i="36"/>
  <c r="C122" i="36"/>
  <c r="F122" i="36"/>
  <c r="C123" i="36"/>
  <c r="F123" i="36"/>
  <c r="C124" i="36"/>
  <c r="F124" i="36"/>
  <c r="C125" i="36"/>
  <c r="F125" i="36"/>
  <c r="C126" i="36"/>
  <c r="F126" i="36"/>
  <c r="C127" i="36"/>
  <c r="F127" i="36"/>
  <c r="C128" i="36"/>
  <c r="F128" i="36"/>
  <c r="C129" i="36"/>
  <c r="F129" i="36"/>
  <c r="D130" i="36"/>
  <c r="C56" i="39"/>
  <c r="E130" i="36"/>
  <c r="C200" i="39"/>
  <c r="C131" i="36"/>
  <c r="F131" i="36"/>
  <c r="C132" i="36"/>
  <c r="F132" i="36"/>
  <c r="C133" i="36"/>
  <c r="F133" i="36"/>
  <c r="C134" i="36"/>
  <c r="F134" i="36"/>
  <c r="C135" i="36"/>
  <c r="F135" i="36"/>
  <c r="C136" i="36"/>
  <c r="F136" i="36"/>
  <c r="C137" i="36"/>
  <c r="F137" i="36"/>
  <c r="C138" i="36"/>
  <c r="C139" i="36"/>
  <c r="F139" i="36"/>
  <c r="C140" i="36"/>
  <c r="F140" i="36"/>
  <c r="D141" i="36"/>
  <c r="C57" i="39"/>
  <c r="E141" i="36"/>
  <c r="C201" i="39"/>
  <c r="C142" i="36"/>
  <c r="C143" i="36"/>
  <c r="F143" i="36"/>
  <c r="C144" i="36"/>
  <c r="F144" i="36"/>
  <c r="C145" i="36"/>
  <c r="C146" i="36"/>
  <c r="F146" i="36"/>
  <c r="C147" i="36"/>
  <c r="F147" i="36"/>
  <c r="C148" i="36"/>
  <c r="F148" i="36"/>
  <c r="C149" i="36"/>
  <c r="F149" i="36"/>
  <c r="C150" i="36"/>
  <c r="F150" i="36"/>
  <c r="C151" i="36"/>
  <c r="F151" i="36"/>
  <c r="D152" i="36"/>
  <c r="C58" i="39"/>
  <c r="E152" i="36"/>
  <c r="C153" i="36"/>
  <c r="F153" i="36"/>
  <c r="C154" i="36"/>
  <c r="F154" i="36"/>
  <c r="C155" i="36"/>
  <c r="C156" i="36"/>
  <c r="F156" i="36"/>
  <c r="C157" i="36"/>
  <c r="F157" i="36"/>
  <c r="C158" i="36"/>
  <c r="F158" i="36"/>
  <c r="C159" i="36"/>
  <c r="F159" i="36"/>
  <c r="C160" i="36"/>
  <c r="F160" i="36"/>
  <c r="C161" i="36"/>
  <c r="F161" i="36"/>
  <c r="C162" i="36"/>
  <c r="F162" i="36"/>
  <c r="D163" i="36"/>
  <c r="C59" i="39"/>
  <c r="E163" i="36"/>
  <c r="C203" i="39"/>
  <c r="C164" i="36"/>
  <c r="C165" i="36"/>
  <c r="F165" i="36"/>
  <c r="C166" i="36"/>
  <c r="F166" i="36"/>
  <c r="C167" i="36"/>
  <c r="F167" i="36"/>
  <c r="C168" i="36"/>
  <c r="F168" i="36"/>
  <c r="C169" i="36"/>
  <c r="F169" i="36"/>
  <c r="C170" i="36"/>
  <c r="C171" i="36"/>
  <c r="F171" i="36"/>
  <c r="C172" i="36"/>
  <c r="F172" i="36"/>
  <c r="C173" i="36"/>
  <c r="F173" i="36"/>
  <c r="D174" i="36"/>
  <c r="C60" i="39"/>
  <c r="E174" i="36"/>
  <c r="C204" i="39"/>
  <c r="C175" i="36"/>
  <c r="F175" i="36"/>
  <c r="C176" i="36"/>
  <c r="F176" i="36"/>
  <c r="C177" i="36"/>
  <c r="C178" i="36"/>
  <c r="F178" i="36"/>
  <c r="C179" i="36"/>
  <c r="F179" i="36"/>
  <c r="C180" i="36"/>
  <c r="F180" i="36"/>
  <c r="C181" i="36"/>
  <c r="F181" i="36"/>
  <c r="C182" i="36"/>
  <c r="F182" i="36"/>
  <c r="C183" i="36"/>
  <c r="F183" i="36"/>
  <c r="C184" i="36"/>
  <c r="F184" i="36"/>
  <c r="D185" i="36"/>
  <c r="C61" i="39"/>
  <c r="E185" i="36"/>
  <c r="C205" i="39"/>
  <c r="C186" i="36"/>
  <c r="F186" i="36"/>
  <c r="C187" i="36"/>
  <c r="F187" i="36"/>
  <c r="C188" i="36"/>
  <c r="F188" i="36"/>
  <c r="C189" i="36"/>
  <c r="F189" i="36"/>
  <c r="C190" i="36"/>
  <c r="F190" i="36"/>
  <c r="C191" i="36"/>
  <c r="F191" i="36"/>
  <c r="C192" i="36"/>
  <c r="F192" i="36"/>
  <c r="C193" i="36"/>
  <c r="F193" i="36"/>
  <c r="C194" i="36"/>
  <c r="F194" i="36"/>
  <c r="C195" i="36"/>
  <c r="F195" i="36"/>
  <c r="D196" i="36"/>
  <c r="C62" i="39"/>
  <c r="E196" i="36"/>
  <c r="C206" i="39"/>
  <c r="C197" i="36"/>
  <c r="F197" i="36"/>
  <c r="C198" i="36"/>
  <c r="F198" i="36"/>
  <c r="C199" i="36"/>
  <c r="F199" i="36"/>
  <c r="C200" i="36"/>
  <c r="F200" i="36"/>
  <c r="C201" i="36"/>
  <c r="F201" i="36"/>
  <c r="C202" i="36"/>
  <c r="F202" i="36"/>
  <c r="C203" i="36"/>
  <c r="F203" i="36"/>
  <c r="C204" i="36"/>
  <c r="F204" i="36"/>
  <c r="C205" i="36"/>
  <c r="F205" i="36"/>
  <c r="C206" i="36"/>
  <c r="D207" i="36"/>
  <c r="C63" i="39"/>
  <c r="E207" i="36"/>
  <c r="C207" i="39"/>
  <c r="C208" i="36"/>
  <c r="F208" i="36"/>
  <c r="C209" i="36"/>
  <c r="F209" i="36"/>
  <c r="C210" i="36"/>
  <c r="F210" i="36"/>
  <c r="C211" i="36"/>
  <c r="F211" i="36"/>
  <c r="C212" i="36"/>
  <c r="F212" i="36"/>
  <c r="C213" i="36"/>
  <c r="F213" i="36"/>
  <c r="C214" i="36"/>
  <c r="F214" i="36"/>
  <c r="C215" i="36"/>
  <c r="F215" i="36"/>
  <c r="C216" i="36"/>
  <c r="F216" i="36"/>
  <c r="C217" i="36"/>
  <c r="F217" i="36"/>
  <c r="D218" i="36"/>
  <c r="C64" i="39"/>
  <c r="E218" i="36"/>
  <c r="C208" i="39"/>
  <c r="C219" i="36"/>
  <c r="F219" i="36"/>
  <c r="C220" i="36"/>
  <c r="F220" i="36"/>
  <c r="C221" i="36"/>
  <c r="F221" i="36"/>
  <c r="C222" i="36"/>
  <c r="F222" i="36"/>
  <c r="C223" i="36"/>
  <c r="F223" i="36"/>
  <c r="C224" i="36"/>
  <c r="F224" i="36"/>
  <c r="C225" i="36"/>
  <c r="F225" i="36"/>
  <c r="C226" i="36"/>
  <c r="F226" i="36"/>
  <c r="C227" i="36"/>
  <c r="F227" i="36"/>
  <c r="C228" i="36"/>
  <c r="F228" i="36"/>
  <c r="D229" i="36"/>
  <c r="C65" i="39"/>
  <c r="E229" i="36"/>
  <c r="C209" i="39"/>
  <c r="C230" i="36"/>
  <c r="F230" i="36"/>
  <c r="C231" i="36"/>
  <c r="F231" i="36"/>
  <c r="C232" i="36"/>
  <c r="F232" i="36"/>
  <c r="C233" i="36"/>
  <c r="C234" i="36"/>
  <c r="F234" i="36"/>
  <c r="C235" i="36"/>
  <c r="F235" i="36"/>
  <c r="C236" i="36"/>
  <c r="F236" i="36"/>
  <c r="C237" i="36"/>
  <c r="F237" i="36"/>
  <c r="C238" i="36"/>
  <c r="C239" i="36"/>
  <c r="F239" i="36"/>
  <c r="D240" i="36"/>
  <c r="C66" i="39"/>
  <c r="E240" i="36"/>
  <c r="C210" i="39"/>
  <c r="C241" i="36"/>
  <c r="F241" i="36"/>
  <c r="C242" i="36"/>
  <c r="F242" i="36"/>
  <c r="C243" i="36"/>
  <c r="F243" i="36"/>
  <c r="C244" i="36"/>
  <c r="F244" i="36"/>
  <c r="C245" i="36"/>
  <c r="F245" i="36"/>
  <c r="C246" i="36"/>
  <c r="F246" i="36"/>
  <c r="C247" i="36"/>
  <c r="F247" i="36"/>
  <c r="C248" i="36"/>
  <c r="F248" i="36"/>
  <c r="C249" i="36"/>
  <c r="F249" i="36"/>
  <c r="C250" i="36"/>
  <c r="F250" i="36"/>
  <c r="D251" i="36"/>
  <c r="C67" i="39"/>
  <c r="E251" i="36"/>
  <c r="C211" i="39"/>
  <c r="C252" i="36"/>
  <c r="F252" i="36"/>
  <c r="C253" i="36"/>
  <c r="F253" i="36"/>
  <c r="C254" i="36"/>
  <c r="C262" i="36"/>
  <c r="C255" i="36"/>
  <c r="F255" i="36"/>
  <c r="C256" i="36"/>
  <c r="F256" i="36"/>
  <c r="C257" i="36"/>
  <c r="F257" i="36"/>
  <c r="C258" i="36"/>
  <c r="F258" i="36"/>
  <c r="C259" i="36"/>
  <c r="F259" i="36"/>
  <c r="C260" i="36"/>
  <c r="F260" i="36"/>
  <c r="C261" i="36"/>
  <c r="F261" i="36"/>
  <c r="D262" i="36"/>
  <c r="C68" i="39"/>
  <c r="E262" i="36"/>
  <c r="C212" i="39"/>
  <c r="C263" i="36"/>
  <c r="F263" i="36"/>
  <c r="C264" i="36"/>
  <c r="F264" i="36"/>
  <c r="C265" i="36"/>
  <c r="F265" i="36"/>
  <c r="C266" i="36"/>
  <c r="F266" i="36"/>
  <c r="C267" i="36"/>
  <c r="F267" i="36"/>
  <c r="C268" i="36"/>
  <c r="F268" i="36"/>
  <c r="C269" i="36"/>
  <c r="F269" i="36"/>
  <c r="C270" i="36"/>
  <c r="C271" i="36"/>
  <c r="F271" i="36"/>
  <c r="C272" i="36"/>
  <c r="F272" i="36"/>
  <c r="D273" i="36"/>
  <c r="C69" i="39"/>
  <c r="E273" i="36"/>
  <c r="C213" i="39"/>
  <c r="C274" i="36"/>
  <c r="F274" i="36"/>
  <c r="C275" i="36"/>
  <c r="F275" i="36"/>
  <c r="C276" i="36"/>
  <c r="F276" i="36"/>
  <c r="C277" i="36"/>
  <c r="F277" i="36"/>
  <c r="C278" i="36"/>
  <c r="F278" i="36"/>
  <c r="C279" i="36"/>
  <c r="F279" i="36"/>
  <c r="C280" i="36"/>
  <c r="F280" i="36"/>
  <c r="C281" i="36"/>
  <c r="F281" i="36"/>
  <c r="C282" i="36"/>
  <c r="C283" i="36"/>
  <c r="F283" i="36"/>
  <c r="D284" i="36"/>
  <c r="C70" i="39"/>
  <c r="E284" i="36"/>
  <c r="C214" i="39"/>
  <c r="C285" i="36"/>
  <c r="F285" i="36"/>
  <c r="E285" i="36"/>
  <c r="C286" i="36"/>
  <c r="C287" i="36"/>
  <c r="F287" i="36"/>
  <c r="C288" i="36"/>
  <c r="F288" i="36"/>
  <c r="C289" i="36"/>
  <c r="F289" i="36"/>
  <c r="C290" i="36"/>
  <c r="F290" i="36"/>
  <c r="C291" i="36"/>
  <c r="F291" i="36"/>
  <c r="C292" i="36"/>
  <c r="F292" i="36"/>
  <c r="C293" i="36"/>
  <c r="F293" i="36"/>
  <c r="C294" i="36"/>
  <c r="F294" i="36"/>
  <c r="D295" i="36"/>
  <c r="C71" i="39"/>
  <c r="E295" i="36"/>
  <c r="C215" i="39"/>
  <c r="C296" i="36"/>
  <c r="F296" i="36"/>
  <c r="C297" i="36"/>
  <c r="F297" i="36"/>
  <c r="C298" i="36"/>
  <c r="F298" i="36"/>
  <c r="C299" i="36"/>
  <c r="F299" i="36"/>
  <c r="C300" i="36"/>
  <c r="F300" i="36"/>
  <c r="C301" i="36"/>
  <c r="F301" i="36"/>
  <c r="C302" i="36"/>
  <c r="F302" i="36"/>
  <c r="C303" i="36"/>
  <c r="F303" i="36"/>
  <c r="C304" i="36"/>
  <c r="F304" i="36"/>
  <c r="C305" i="36"/>
  <c r="F305" i="36"/>
  <c r="D306" i="36"/>
  <c r="C72" i="39"/>
  <c r="E306" i="36"/>
  <c r="C216" i="39"/>
  <c r="C307" i="36"/>
  <c r="F307" i="36"/>
  <c r="C308" i="36"/>
  <c r="F308" i="36"/>
  <c r="C309" i="36"/>
  <c r="F309" i="36"/>
  <c r="C310" i="36"/>
  <c r="F310" i="36"/>
  <c r="C311" i="36"/>
  <c r="F311" i="36"/>
  <c r="C312" i="36"/>
  <c r="F312" i="36"/>
  <c r="C313" i="36"/>
  <c r="F313" i="36"/>
  <c r="C314" i="36"/>
  <c r="F314" i="36"/>
  <c r="C315" i="36"/>
  <c r="F315" i="36"/>
  <c r="C316" i="36"/>
  <c r="F316" i="36"/>
  <c r="D317" i="36"/>
  <c r="C73" i="39"/>
  <c r="E317" i="36"/>
  <c r="C217" i="39"/>
  <c r="C318" i="36"/>
  <c r="F318" i="36"/>
  <c r="C319" i="36"/>
  <c r="F319" i="36"/>
  <c r="C320" i="36"/>
  <c r="C321" i="36"/>
  <c r="F321" i="36"/>
  <c r="C322" i="36"/>
  <c r="F322" i="36"/>
  <c r="C323" i="36"/>
  <c r="F323" i="36"/>
  <c r="C324" i="36"/>
  <c r="F324" i="36"/>
  <c r="C325" i="36"/>
  <c r="F325" i="36"/>
  <c r="C326" i="36"/>
  <c r="F326" i="36"/>
  <c r="C327" i="36"/>
  <c r="F327" i="36"/>
  <c r="D328" i="36"/>
  <c r="C74" i="39"/>
  <c r="E328" i="36"/>
  <c r="C218" i="39"/>
  <c r="C329" i="36"/>
  <c r="F329" i="36"/>
  <c r="C330" i="36"/>
  <c r="F330" i="36"/>
  <c r="C331" i="36"/>
  <c r="F331" i="36"/>
  <c r="C332" i="36"/>
  <c r="F332" i="36"/>
  <c r="C333" i="36"/>
  <c r="F333" i="36"/>
  <c r="C334" i="36"/>
  <c r="C335" i="36"/>
  <c r="F335" i="36"/>
  <c r="C336" i="36"/>
  <c r="F336" i="36"/>
  <c r="C337" i="36"/>
  <c r="F337" i="36"/>
  <c r="C338" i="36"/>
  <c r="F338" i="36"/>
  <c r="D339" i="36"/>
  <c r="C75" i="39"/>
  <c r="E339" i="36"/>
  <c r="C219" i="39"/>
  <c r="C340" i="36"/>
  <c r="F340" i="36"/>
  <c r="C341" i="36"/>
  <c r="F341" i="36"/>
  <c r="C342" i="36"/>
  <c r="F342" i="36"/>
  <c r="C343" i="36"/>
  <c r="F343" i="36"/>
  <c r="C344" i="36"/>
  <c r="F344" i="36"/>
  <c r="C345" i="36"/>
  <c r="F345" i="36"/>
  <c r="C346" i="36"/>
  <c r="F346" i="36"/>
  <c r="C347" i="36"/>
  <c r="F347" i="36"/>
  <c r="C348" i="36"/>
  <c r="F348" i="36"/>
  <c r="C349" i="36"/>
  <c r="F349" i="36"/>
  <c r="D350" i="36"/>
  <c r="C76" i="39"/>
  <c r="E350" i="36"/>
  <c r="C220" i="39"/>
  <c r="C351" i="36"/>
  <c r="F351" i="36"/>
  <c r="C352" i="36"/>
  <c r="F352" i="36"/>
  <c r="C353" i="36"/>
  <c r="F353" i="36"/>
  <c r="C354" i="36"/>
  <c r="C355" i="36"/>
  <c r="C356" i="36"/>
  <c r="F356" i="36"/>
  <c r="C357" i="36"/>
  <c r="F357" i="36"/>
  <c r="C358" i="36"/>
  <c r="F358" i="36"/>
  <c r="C359" i="36"/>
  <c r="F359" i="36"/>
  <c r="C360" i="36"/>
  <c r="F360" i="36"/>
  <c r="D361" i="36"/>
  <c r="C77" i="39"/>
  <c r="E361" i="36"/>
  <c r="C221" i="39"/>
  <c r="C362" i="36"/>
  <c r="C372" i="36"/>
  <c r="C363" i="36"/>
  <c r="F363" i="36"/>
  <c r="C364" i="36"/>
  <c r="F364" i="36"/>
  <c r="C365" i="36"/>
  <c r="F365" i="36"/>
  <c r="C366" i="36"/>
  <c r="F366" i="36"/>
  <c r="C367" i="36"/>
  <c r="F367" i="36"/>
  <c r="C368" i="36"/>
  <c r="F368" i="36"/>
  <c r="C369" i="36"/>
  <c r="F369" i="36"/>
  <c r="C370" i="36"/>
  <c r="F370" i="36"/>
  <c r="C371" i="36"/>
  <c r="F371" i="36"/>
  <c r="D372" i="36"/>
  <c r="C78" i="39"/>
  <c r="E372" i="36"/>
  <c r="C222" i="39"/>
  <c r="C373" i="36"/>
  <c r="F373" i="36"/>
  <c r="C374" i="36"/>
  <c r="F374" i="36"/>
  <c r="C375" i="36"/>
  <c r="F375" i="36"/>
  <c r="C376" i="36"/>
  <c r="F376" i="36"/>
  <c r="C377" i="36"/>
  <c r="F377" i="36"/>
  <c r="C378" i="36"/>
  <c r="F378" i="36"/>
  <c r="C379" i="36"/>
  <c r="C380" i="36"/>
  <c r="F380" i="36"/>
  <c r="C381" i="36"/>
  <c r="F381" i="36"/>
  <c r="C382" i="36"/>
  <c r="F382" i="36"/>
  <c r="D383" i="36"/>
  <c r="C79" i="39"/>
  <c r="E383" i="36"/>
  <c r="C223" i="39"/>
  <c r="C384" i="36"/>
  <c r="F384" i="36"/>
  <c r="C385" i="36"/>
  <c r="F385" i="36"/>
  <c r="C386" i="36"/>
  <c r="C387" i="36"/>
  <c r="C388" i="36"/>
  <c r="F388" i="36"/>
  <c r="C389" i="36"/>
  <c r="F389" i="36"/>
  <c r="C390" i="36"/>
  <c r="C391" i="36"/>
  <c r="F391" i="36"/>
  <c r="C392" i="36"/>
  <c r="F392" i="36"/>
  <c r="C393" i="36"/>
  <c r="F393" i="36"/>
  <c r="D394" i="36"/>
  <c r="C80" i="39"/>
  <c r="E394" i="36"/>
  <c r="C224" i="39"/>
  <c r="C395" i="36"/>
  <c r="C396" i="36"/>
  <c r="F396" i="36"/>
  <c r="C397" i="36"/>
  <c r="F397" i="36"/>
  <c r="C398" i="36"/>
  <c r="C399" i="36"/>
  <c r="F399" i="36"/>
  <c r="C400" i="36"/>
  <c r="F400" i="36"/>
  <c r="C401" i="36"/>
  <c r="F401" i="36"/>
  <c r="C402" i="36"/>
  <c r="C403" i="36"/>
  <c r="F403" i="36"/>
  <c r="C404" i="36"/>
  <c r="F404" i="36"/>
  <c r="D405" i="36"/>
  <c r="C81" i="39"/>
  <c r="E405" i="36"/>
  <c r="C225" i="39"/>
  <c r="C406" i="36"/>
  <c r="C407" i="36"/>
  <c r="F407" i="36"/>
  <c r="C408" i="36"/>
  <c r="C409" i="36"/>
  <c r="F409" i="36"/>
  <c r="C410" i="36"/>
  <c r="C411" i="36"/>
  <c r="C412" i="36"/>
  <c r="F412" i="36"/>
  <c r="C413" i="36"/>
  <c r="F413" i="36"/>
  <c r="C414" i="36"/>
  <c r="C415" i="36"/>
  <c r="F415" i="36"/>
  <c r="D416" i="36"/>
  <c r="C82" i="39"/>
  <c r="E416" i="36"/>
  <c r="C417" i="36"/>
  <c r="F417" i="36"/>
  <c r="C418" i="36"/>
  <c r="C419" i="36"/>
  <c r="C420" i="36"/>
  <c r="F420" i="36"/>
  <c r="C421" i="36"/>
  <c r="F421" i="36"/>
  <c r="C422" i="36"/>
  <c r="F422" i="36"/>
  <c r="C423" i="36"/>
  <c r="F423" i="36"/>
  <c r="C424" i="36"/>
  <c r="F424" i="36"/>
  <c r="C425" i="36"/>
  <c r="F425" i="36"/>
  <c r="C426" i="36"/>
  <c r="F426" i="36"/>
  <c r="D427" i="36"/>
  <c r="C83" i="39"/>
  <c r="E427" i="36"/>
  <c r="C227" i="39"/>
  <c r="C428" i="36"/>
  <c r="F428" i="36"/>
  <c r="C429" i="36"/>
  <c r="F429" i="36"/>
  <c r="C430" i="36"/>
  <c r="F430" i="36"/>
  <c r="C431" i="36"/>
  <c r="F431" i="36"/>
  <c r="C432" i="36"/>
  <c r="F432" i="36"/>
  <c r="C433" i="36"/>
  <c r="F433" i="36"/>
  <c r="C434" i="36"/>
  <c r="F434" i="36"/>
  <c r="C435" i="36"/>
  <c r="F435" i="36"/>
  <c r="C436" i="36"/>
  <c r="F436" i="36"/>
  <c r="C437" i="36"/>
  <c r="F437" i="36"/>
  <c r="D438" i="36"/>
  <c r="C84" i="39"/>
  <c r="E438" i="36"/>
  <c r="C228" i="39"/>
  <c r="C439" i="36"/>
  <c r="F439" i="36"/>
  <c r="C440" i="36"/>
  <c r="F440" i="36"/>
  <c r="C441" i="36"/>
  <c r="F441" i="36"/>
  <c r="C442" i="36"/>
  <c r="F442" i="36"/>
  <c r="C443" i="36"/>
  <c r="F443" i="36"/>
  <c r="C444" i="36"/>
  <c r="F444" i="36"/>
  <c r="C445" i="36"/>
  <c r="F445" i="36"/>
  <c r="C446" i="36"/>
  <c r="F446" i="36"/>
  <c r="C447" i="36"/>
  <c r="F447" i="36"/>
  <c r="C448" i="36"/>
  <c r="F448" i="36"/>
  <c r="D449" i="36"/>
  <c r="C85" i="39"/>
  <c r="E449" i="36"/>
  <c r="C229" i="39"/>
  <c r="C450" i="36"/>
  <c r="F450" i="36"/>
  <c r="C451" i="36"/>
  <c r="C452" i="36"/>
  <c r="F452" i="36"/>
  <c r="C453" i="36"/>
  <c r="F453" i="36"/>
  <c r="C454" i="36"/>
  <c r="F454" i="36"/>
  <c r="C455" i="36"/>
  <c r="F455" i="36"/>
  <c r="C456" i="36"/>
  <c r="F456" i="36"/>
  <c r="C457" i="36"/>
  <c r="F457" i="36"/>
  <c r="C458" i="36"/>
  <c r="F458" i="36"/>
  <c r="C459" i="36"/>
  <c r="D460" i="36"/>
  <c r="C86" i="39"/>
  <c r="E460" i="36"/>
  <c r="C230" i="39"/>
  <c r="C461" i="36"/>
  <c r="F461" i="36"/>
  <c r="C462" i="36"/>
  <c r="F462" i="36"/>
  <c r="C463" i="36"/>
  <c r="F463" i="36"/>
  <c r="C464" i="36"/>
  <c r="F464" i="36"/>
  <c r="C465" i="36"/>
  <c r="F465" i="36"/>
  <c r="C466" i="36"/>
  <c r="F466" i="36"/>
  <c r="C467" i="36"/>
  <c r="C468" i="36"/>
  <c r="F468" i="36"/>
  <c r="C469" i="36"/>
  <c r="F469" i="36"/>
  <c r="C470" i="36"/>
  <c r="F470" i="36"/>
  <c r="D471" i="36"/>
  <c r="C87" i="39"/>
  <c r="E471" i="36"/>
  <c r="C231" i="39"/>
  <c r="C473" i="36"/>
  <c r="F473" i="36"/>
  <c r="C474" i="36"/>
  <c r="C475" i="36"/>
  <c r="C476" i="36"/>
  <c r="F476" i="36"/>
  <c r="C477" i="36"/>
  <c r="F477" i="36"/>
  <c r="C478" i="36"/>
  <c r="F478" i="36"/>
  <c r="C479" i="36"/>
  <c r="F479" i="36"/>
  <c r="C480" i="36"/>
  <c r="F480" i="36"/>
  <c r="C481" i="36"/>
  <c r="F481" i="36"/>
  <c r="D482" i="36"/>
  <c r="C88" i="39"/>
  <c r="E482" i="36"/>
  <c r="C232" i="39"/>
  <c r="C483" i="36"/>
  <c r="F483" i="36"/>
  <c r="C484" i="36"/>
  <c r="F484" i="36"/>
  <c r="C485" i="36"/>
  <c r="C486" i="36"/>
  <c r="C487" i="36"/>
  <c r="F487" i="36"/>
  <c r="C488" i="36"/>
  <c r="F488" i="36"/>
  <c r="C489" i="36"/>
  <c r="F489" i="36"/>
  <c r="C490" i="36"/>
  <c r="C491" i="36"/>
  <c r="F491" i="36"/>
  <c r="C492" i="36"/>
  <c r="F492" i="36"/>
  <c r="D493" i="36"/>
  <c r="C89" i="39"/>
  <c r="E493" i="36"/>
  <c r="C233" i="39"/>
  <c r="C494" i="36"/>
  <c r="C495" i="36"/>
  <c r="F495" i="36"/>
  <c r="C496" i="36"/>
  <c r="F496" i="36"/>
  <c r="C497" i="36"/>
  <c r="F497" i="36"/>
  <c r="C498" i="36"/>
  <c r="C499" i="36"/>
  <c r="F499" i="36"/>
  <c r="C500" i="36"/>
  <c r="F500" i="36"/>
  <c r="C501" i="36"/>
  <c r="F501" i="36"/>
  <c r="C502" i="36"/>
  <c r="C503" i="36"/>
  <c r="F503" i="36"/>
  <c r="D504" i="36"/>
  <c r="C90" i="39"/>
  <c r="E504" i="36"/>
  <c r="C234" i="39"/>
  <c r="C505" i="36"/>
  <c r="F505" i="36"/>
  <c r="C506" i="36"/>
  <c r="C507" i="36"/>
  <c r="F507" i="36"/>
  <c r="C508" i="36"/>
  <c r="F508" i="36"/>
  <c r="C509" i="36"/>
  <c r="F509" i="36"/>
  <c r="C510" i="36"/>
  <c r="C511" i="36"/>
  <c r="F511" i="36"/>
  <c r="C512" i="36"/>
  <c r="F512" i="36"/>
  <c r="C513" i="36"/>
  <c r="F513" i="36"/>
  <c r="C514" i="36"/>
  <c r="D515" i="36"/>
  <c r="C91" i="39"/>
  <c r="E515" i="36"/>
  <c r="C235" i="39"/>
  <c r="C516" i="36"/>
  <c r="F516" i="36"/>
  <c r="C517" i="36"/>
  <c r="F517" i="36"/>
  <c r="C518" i="36"/>
  <c r="C519" i="36"/>
  <c r="F519" i="36"/>
  <c r="C520" i="36"/>
  <c r="F520" i="36"/>
  <c r="C521" i="36"/>
  <c r="F521" i="36"/>
  <c r="C522" i="36"/>
  <c r="C523" i="36"/>
  <c r="F523" i="36"/>
  <c r="C524" i="36"/>
  <c r="F524" i="36"/>
  <c r="C525" i="36"/>
  <c r="F525" i="36"/>
  <c r="D526" i="36"/>
  <c r="E526" i="36"/>
  <c r="C236" i="39"/>
  <c r="C527" i="36"/>
  <c r="C528" i="36"/>
  <c r="C529" i="36"/>
  <c r="F529" i="36"/>
  <c r="C530" i="36"/>
  <c r="C531" i="36"/>
  <c r="C532" i="36"/>
  <c r="F532" i="36"/>
  <c r="C533" i="36"/>
  <c r="F533" i="36"/>
  <c r="C534" i="36"/>
  <c r="F534" i="36"/>
  <c r="C535" i="36"/>
  <c r="C536" i="36"/>
  <c r="F536" i="36"/>
  <c r="D537" i="36"/>
  <c r="C93" i="39"/>
  <c r="E537" i="36"/>
  <c r="C237" i="39"/>
  <c r="C538" i="36"/>
  <c r="C539" i="36"/>
  <c r="C540" i="36"/>
  <c r="F540" i="36"/>
  <c r="C541" i="36"/>
  <c r="F541" i="36"/>
  <c r="C542" i="36"/>
  <c r="F542" i="36"/>
  <c r="C543" i="36"/>
  <c r="C544" i="36"/>
  <c r="F544" i="36"/>
  <c r="C545" i="36"/>
  <c r="F545" i="36"/>
  <c r="C546" i="36"/>
  <c r="C547" i="36"/>
  <c r="D548" i="36"/>
  <c r="C94" i="39"/>
  <c r="E548" i="36"/>
  <c r="C238" i="39"/>
  <c r="C549" i="36"/>
  <c r="F549" i="36"/>
  <c r="C550" i="36"/>
  <c r="F550" i="36"/>
  <c r="C551" i="36"/>
  <c r="C552" i="36"/>
  <c r="F552" i="36"/>
  <c r="C553" i="36"/>
  <c r="F553" i="36"/>
  <c r="C554" i="36"/>
  <c r="C555" i="36"/>
  <c r="C556" i="36"/>
  <c r="F556" i="36"/>
  <c r="C557" i="36"/>
  <c r="F557" i="36"/>
  <c r="C558" i="36"/>
  <c r="F558" i="36"/>
  <c r="D559" i="36"/>
  <c r="C95" i="39"/>
  <c r="E559" i="36"/>
  <c r="C239" i="39"/>
  <c r="C560" i="36"/>
  <c r="F560" i="36"/>
  <c r="C561" i="36"/>
  <c r="F561" i="36"/>
  <c r="C562" i="36"/>
  <c r="C563" i="36"/>
  <c r="F563" i="36"/>
  <c r="C564" i="36"/>
  <c r="F564" i="36"/>
  <c r="C565" i="36"/>
  <c r="F565" i="36"/>
  <c r="C566" i="36"/>
  <c r="F566" i="36"/>
  <c r="C567" i="36"/>
  <c r="F567" i="36"/>
  <c r="C568" i="36"/>
  <c r="F568" i="36"/>
  <c r="C569" i="36"/>
  <c r="F569" i="36"/>
  <c r="D570" i="36"/>
  <c r="C96" i="39"/>
  <c r="E570" i="36"/>
  <c r="C240" i="39"/>
  <c r="C571" i="36"/>
  <c r="C572" i="36"/>
  <c r="F572" i="36"/>
  <c r="C573" i="36"/>
  <c r="F573" i="36"/>
  <c r="C574" i="36"/>
  <c r="F574" i="36"/>
  <c r="C575" i="36"/>
  <c r="F575" i="36"/>
  <c r="C576" i="36"/>
  <c r="F576" i="36"/>
  <c r="C577" i="36"/>
  <c r="F577" i="36"/>
  <c r="C578" i="36"/>
  <c r="C579" i="36"/>
  <c r="F579" i="36"/>
  <c r="C580" i="36"/>
  <c r="F580" i="36"/>
  <c r="D581" i="36"/>
  <c r="C97" i="39"/>
  <c r="E581" i="36"/>
  <c r="C241" i="39"/>
  <c r="C582" i="36"/>
  <c r="C583" i="36"/>
  <c r="F583" i="36"/>
  <c r="C584" i="36"/>
  <c r="F584" i="36"/>
  <c r="C585" i="36"/>
  <c r="F585" i="36"/>
  <c r="C586" i="36"/>
  <c r="C587" i="36"/>
  <c r="F587" i="36"/>
  <c r="C588" i="36"/>
  <c r="F588" i="36"/>
  <c r="C589" i="36"/>
  <c r="F589" i="36"/>
  <c r="C590" i="36"/>
  <c r="F590" i="36"/>
  <c r="C591" i="36"/>
  <c r="F591" i="36"/>
  <c r="D592" i="36"/>
  <c r="C98" i="39"/>
  <c r="E592" i="36"/>
  <c r="C242" i="39"/>
  <c r="C593" i="36"/>
  <c r="F593" i="36"/>
  <c r="C594" i="36"/>
  <c r="C595" i="36"/>
  <c r="F595" i="36"/>
  <c r="C596" i="36"/>
  <c r="F596" i="36"/>
  <c r="C597" i="36"/>
  <c r="F597" i="36"/>
  <c r="C598" i="36"/>
  <c r="F598" i="36"/>
  <c r="C599" i="36"/>
  <c r="F599" i="36"/>
  <c r="C600" i="36"/>
  <c r="F600" i="36"/>
  <c r="C601" i="36"/>
  <c r="F601" i="36"/>
  <c r="C602" i="36"/>
  <c r="D603" i="36"/>
  <c r="C99" i="39"/>
  <c r="E603" i="36"/>
  <c r="C243" i="39"/>
  <c r="C604" i="36"/>
  <c r="F604" i="36"/>
  <c r="C605" i="36"/>
  <c r="F605" i="36"/>
  <c r="C606" i="36"/>
  <c r="F606" i="36"/>
  <c r="C607" i="36"/>
  <c r="F607" i="36"/>
  <c r="C608" i="36"/>
  <c r="F608" i="36"/>
  <c r="C609" i="36"/>
  <c r="F609" i="36"/>
  <c r="C610" i="36"/>
  <c r="C611" i="36"/>
  <c r="F611" i="36"/>
  <c r="C612" i="36"/>
  <c r="F612" i="36"/>
  <c r="C613" i="36"/>
  <c r="F613" i="36"/>
  <c r="D614" i="36"/>
  <c r="C100" i="39"/>
  <c r="E614" i="36"/>
  <c r="C244" i="39"/>
  <c r="C615" i="36"/>
  <c r="F615" i="36"/>
  <c r="C616" i="36"/>
  <c r="C617" i="36"/>
  <c r="F617" i="36"/>
  <c r="C618" i="36"/>
  <c r="C619" i="36"/>
  <c r="F619" i="36"/>
  <c r="C620" i="36"/>
  <c r="F620" i="36"/>
  <c r="C621" i="36"/>
  <c r="F621" i="36"/>
  <c r="C622" i="36"/>
  <c r="F622" i="36"/>
  <c r="C623" i="36"/>
  <c r="F623" i="36"/>
  <c r="C624" i="36"/>
  <c r="F624" i="36"/>
  <c r="D625" i="36"/>
  <c r="C101" i="39"/>
  <c r="E625" i="36"/>
  <c r="C245" i="39"/>
  <c r="C626" i="36"/>
  <c r="C627" i="36"/>
  <c r="F627" i="36"/>
  <c r="C628" i="36"/>
  <c r="F628" i="36"/>
  <c r="C629" i="36"/>
  <c r="F629" i="36"/>
  <c r="C630" i="36"/>
  <c r="F630" i="36"/>
  <c r="C631" i="36"/>
  <c r="F631" i="36"/>
  <c r="C632" i="36"/>
  <c r="F632" i="36"/>
  <c r="C633" i="36"/>
  <c r="F633" i="36"/>
  <c r="C634" i="36"/>
  <c r="C635" i="36"/>
  <c r="F635" i="36"/>
  <c r="D636" i="36"/>
  <c r="C102" i="39"/>
  <c r="E636" i="36"/>
  <c r="C246" i="39"/>
  <c r="C637" i="36"/>
  <c r="F637" i="36"/>
  <c r="C638" i="36"/>
  <c r="F638" i="36"/>
  <c r="C639" i="36"/>
  <c r="F639" i="36"/>
  <c r="C640" i="36"/>
  <c r="F640" i="36"/>
  <c r="C641" i="36"/>
  <c r="F641" i="36"/>
  <c r="C642" i="36"/>
  <c r="C643" i="36"/>
  <c r="F643" i="36"/>
  <c r="C644" i="36"/>
  <c r="F644" i="36"/>
  <c r="C645" i="36"/>
  <c r="F645" i="36"/>
  <c r="C646" i="36"/>
  <c r="F646" i="36"/>
  <c r="D647" i="36"/>
  <c r="C103" i="39"/>
  <c r="E647" i="36"/>
  <c r="C648" i="36"/>
  <c r="F648" i="36"/>
  <c r="C649" i="36"/>
  <c r="F649" i="36"/>
  <c r="C650" i="36"/>
  <c r="C651" i="36"/>
  <c r="F651" i="36"/>
  <c r="C652" i="36"/>
  <c r="F652" i="36"/>
  <c r="C653" i="36"/>
  <c r="F653" i="36"/>
  <c r="C654" i="36"/>
  <c r="F654" i="36"/>
  <c r="C655" i="36"/>
  <c r="F655" i="36"/>
  <c r="C656" i="36"/>
  <c r="F656" i="36"/>
  <c r="C657" i="36"/>
  <c r="F657" i="36"/>
  <c r="D658" i="36"/>
  <c r="C104" i="39"/>
  <c r="E658" i="36"/>
  <c r="C248" i="39"/>
  <c r="C659" i="36"/>
  <c r="C660" i="36"/>
  <c r="F660" i="36"/>
  <c r="C661" i="36"/>
  <c r="F661" i="36"/>
  <c r="C662" i="36"/>
  <c r="F662" i="36"/>
  <c r="C663" i="36"/>
  <c r="F663" i="36"/>
  <c r="C664" i="36"/>
  <c r="F664" i="36"/>
  <c r="C665" i="36"/>
  <c r="F665" i="36"/>
  <c r="C666" i="36"/>
  <c r="C667" i="36"/>
  <c r="F667" i="36"/>
  <c r="C668" i="36"/>
  <c r="F668" i="36"/>
  <c r="D669" i="36"/>
  <c r="C105" i="39"/>
  <c r="E669" i="36"/>
  <c r="C249" i="39"/>
  <c r="C670" i="36"/>
  <c r="C671" i="36"/>
  <c r="F671" i="36"/>
  <c r="C672" i="36"/>
  <c r="F672" i="36"/>
  <c r="C673" i="36"/>
  <c r="F673" i="36"/>
  <c r="C674" i="36"/>
  <c r="C675" i="36"/>
  <c r="F675" i="36"/>
  <c r="C676" i="36"/>
  <c r="F676" i="36"/>
  <c r="C677" i="36"/>
  <c r="F677" i="36"/>
  <c r="C678" i="36"/>
  <c r="F678" i="36"/>
  <c r="C679" i="36"/>
  <c r="F679" i="36"/>
  <c r="D680" i="36"/>
  <c r="C106" i="39"/>
  <c r="E680" i="36"/>
  <c r="C250" i="39"/>
  <c r="C681" i="36"/>
  <c r="F681" i="36"/>
  <c r="C682" i="36"/>
  <c r="C691" i="36"/>
  <c r="C683" i="36"/>
  <c r="F683" i="36"/>
  <c r="C684" i="36"/>
  <c r="F684" i="36"/>
  <c r="C685" i="36"/>
  <c r="F685" i="36"/>
  <c r="C686" i="36"/>
  <c r="F686" i="36"/>
  <c r="C687" i="36"/>
  <c r="F687" i="36"/>
  <c r="C688" i="36"/>
  <c r="F688" i="36"/>
  <c r="C689" i="36"/>
  <c r="F689" i="36"/>
  <c r="C690" i="36"/>
  <c r="D691" i="36"/>
  <c r="C107" i="39"/>
  <c r="E691" i="36"/>
  <c r="C251" i="39"/>
  <c r="C692" i="36"/>
  <c r="F692" i="36"/>
  <c r="C693" i="36"/>
  <c r="F693" i="36"/>
  <c r="C694" i="36"/>
  <c r="C695" i="36"/>
  <c r="F695" i="36"/>
  <c r="C696" i="36"/>
  <c r="F696" i="36"/>
  <c r="C697" i="36"/>
  <c r="F697" i="36"/>
  <c r="C698" i="36"/>
  <c r="F698" i="36"/>
  <c r="C699" i="36"/>
  <c r="F699" i="36"/>
  <c r="C700" i="36"/>
  <c r="F700" i="36"/>
  <c r="C701" i="36"/>
  <c r="F701" i="36"/>
  <c r="D702" i="36"/>
  <c r="C108" i="39"/>
  <c r="E702" i="36"/>
  <c r="C252" i="39"/>
  <c r="C703" i="36"/>
  <c r="C704" i="36"/>
  <c r="F704" i="36"/>
  <c r="C705" i="36"/>
  <c r="F705" i="36"/>
  <c r="C706" i="36"/>
  <c r="C707" i="36"/>
  <c r="F707" i="36"/>
  <c r="C708" i="36"/>
  <c r="F708" i="36"/>
  <c r="C709" i="36"/>
  <c r="F709" i="36"/>
  <c r="C710" i="36"/>
  <c r="F710" i="36"/>
  <c r="C711" i="36"/>
  <c r="F711" i="36"/>
  <c r="C712" i="36"/>
  <c r="F712" i="36"/>
  <c r="D713" i="36"/>
  <c r="C109" i="39"/>
  <c r="E713" i="36"/>
  <c r="C253" i="39"/>
  <c r="C714" i="36"/>
  <c r="C724" i="36"/>
  <c r="C715" i="36"/>
  <c r="F715" i="36"/>
  <c r="C716" i="36"/>
  <c r="F716" i="36"/>
  <c r="C717" i="36"/>
  <c r="F717" i="36"/>
  <c r="C718" i="36"/>
  <c r="F718" i="36"/>
  <c r="C719" i="36"/>
  <c r="F719" i="36"/>
  <c r="C720" i="36"/>
  <c r="F720" i="36"/>
  <c r="C721" i="36"/>
  <c r="F721" i="36"/>
  <c r="C722" i="36"/>
  <c r="C723" i="36"/>
  <c r="F723" i="36"/>
  <c r="D724" i="36"/>
  <c r="C110" i="39"/>
  <c r="E724" i="36"/>
  <c r="C254" i="39"/>
  <c r="C725" i="36"/>
  <c r="F725" i="36"/>
  <c r="C726" i="36"/>
  <c r="C735" i="36"/>
  <c r="C727" i="36"/>
  <c r="F727" i="36"/>
  <c r="C728" i="36"/>
  <c r="F728" i="36"/>
  <c r="C729" i="36"/>
  <c r="F729" i="36"/>
  <c r="C730" i="36"/>
  <c r="C731" i="36"/>
  <c r="F731" i="36"/>
  <c r="C732" i="36"/>
  <c r="F732" i="36"/>
  <c r="C733" i="36"/>
  <c r="F733" i="36"/>
  <c r="C734" i="36"/>
  <c r="F734" i="36"/>
  <c r="D735" i="36"/>
  <c r="C111" i="39"/>
  <c r="E735" i="36"/>
  <c r="C255" i="39"/>
  <c r="E748" i="36"/>
  <c r="E749" i="36"/>
  <c r="E14" i="27"/>
  <c r="C14" i="27"/>
  <c r="F14" i="27"/>
  <c r="C16" i="27"/>
  <c r="G16" i="27"/>
  <c r="C17" i="27"/>
  <c r="G17" i="27"/>
  <c r="C18" i="27"/>
  <c r="G18" i="27"/>
  <c r="C19" i="27"/>
  <c r="G19" i="27"/>
  <c r="C20" i="27"/>
  <c r="G20" i="27"/>
  <c r="D21" i="27"/>
  <c r="E21" i="27"/>
  <c r="F21" i="27"/>
  <c r="C22" i="27"/>
  <c r="G22" i="27"/>
  <c r="C23" i="27"/>
  <c r="G23" i="27"/>
  <c r="C24" i="27"/>
  <c r="G24" i="27"/>
  <c r="C25" i="27"/>
  <c r="G25" i="27"/>
  <c r="F27" i="27"/>
  <c r="E28" i="27"/>
  <c r="C28" i="27"/>
  <c r="G28" i="27"/>
  <c r="C29" i="27"/>
  <c r="G29" i="27"/>
  <c r="C30" i="27"/>
  <c r="G30" i="27"/>
  <c r="D32" i="27"/>
  <c r="E32" i="27"/>
  <c r="F32" i="27"/>
  <c r="C33" i="27"/>
  <c r="G33" i="27"/>
  <c r="D34" i="27"/>
  <c r="E34" i="27"/>
  <c r="F34" i="27"/>
  <c r="C35" i="27"/>
  <c r="G35" i="27"/>
  <c r="C36" i="27"/>
  <c r="G36" i="27"/>
  <c r="C37" i="27"/>
  <c r="G37" i="27"/>
  <c r="D38" i="27"/>
  <c r="E38" i="27"/>
  <c r="F38" i="27"/>
  <c r="C39" i="27"/>
  <c r="G39" i="27"/>
  <c r="C40" i="27"/>
  <c r="G40" i="27"/>
  <c r="D41" i="27"/>
  <c r="C42" i="27"/>
  <c r="G42" i="27"/>
  <c r="D44" i="27"/>
  <c r="E44" i="27"/>
  <c r="C44" i="27"/>
  <c r="F44" i="27"/>
  <c r="F43" i="27"/>
  <c r="C45" i="27"/>
  <c r="G45" i="27"/>
  <c r="C46" i="27"/>
  <c r="G46" i="27"/>
  <c r="C47" i="27"/>
  <c r="G47" i="27"/>
  <c r="C48" i="27"/>
  <c r="G48" i="27"/>
  <c r="D49" i="27"/>
  <c r="E49" i="27"/>
  <c r="F49" i="27"/>
  <c r="C50" i="27"/>
  <c r="E52" i="27"/>
  <c r="F52" i="27"/>
  <c r="D53" i="27"/>
  <c r="C53" i="27"/>
  <c r="G53" i="27"/>
  <c r="C54" i="27"/>
  <c r="G54" i="27"/>
  <c r="C55" i="27"/>
  <c r="G55" i="27"/>
  <c r="C56" i="27"/>
  <c r="G56" i="27"/>
  <c r="D58" i="27"/>
  <c r="E58" i="27"/>
  <c r="E57" i="27"/>
  <c r="F58" i="27"/>
  <c r="F57" i="27"/>
  <c r="C59" i="27"/>
  <c r="G59" i="27"/>
  <c r="C60" i="27"/>
  <c r="G60" i="27"/>
  <c r="C61" i="27"/>
  <c r="G61" i="27"/>
  <c r="C62" i="27"/>
  <c r="G62" i="27"/>
  <c r="D62" i="27"/>
  <c r="C63" i="27"/>
  <c r="G63" i="27"/>
  <c r="C64" i="27"/>
  <c r="G64" i="27"/>
  <c r="C65" i="27"/>
  <c r="G65" i="27"/>
  <c r="C66" i="27"/>
  <c r="G66" i="27"/>
  <c r="C67" i="27"/>
  <c r="G67" i="27"/>
  <c r="C68" i="27"/>
  <c r="G68" i="27"/>
  <c r="C69" i="27"/>
  <c r="G69" i="27"/>
  <c r="C70" i="27"/>
  <c r="G70" i="27"/>
  <c r="D72" i="27"/>
  <c r="C72" i="27"/>
  <c r="G72" i="27"/>
  <c r="C73" i="27"/>
  <c r="G73" i="27"/>
  <c r="C74" i="27"/>
  <c r="G74" i="27"/>
  <c r="C75" i="27"/>
  <c r="G75" i="27"/>
  <c r="D77" i="27"/>
  <c r="D76" i="27"/>
  <c r="E77" i="27"/>
  <c r="E76" i="27"/>
  <c r="F77" i="27"/>
  <c r="F76" i="27"/>
  <c r="C78" i="27"/>
  <c r="G78" i="27"/>
  <c r="C79" i="27"/>
  <c r="G79" i="27"/>
  <c r="C80" i="27"/>
  <c r="G80" i="27"/>
  <c r="C83" i="27"/>
  <c r="G83" i="27"/>
  <c r="E83" i="27"/>
  <c r="E84" i="27"/>
  <c r="C84" i="27"/>
  <c r="G84" i="27"/>
  <c r="E85" i="27"/>
  <c r="C85" i="27"/>
  <c r="G85" i="27"/>
  <c r="C86" i="27"/>
  <c r="G86" i="27"/>
  <c r="E86" i="27"/>
  <c r="E88" i="27"/>
  <c r="E87" i="27"/>
  <c r="C87" i="27"/>
  <c r="G87" i="27"/>
  <c r="E90" i="27"/>
  <c r="C90" i="27"/>
  <c r="F90" i="27"/>
  <c r="F89" i="27"/>
  <c r="C91" i="27"/>
  <c r="G91" i="27"/>
  <c r="C95" i="27"/>
  <c r="G95" i="27"/>
  <c r="C96" i="27"/>
  <c r="G96" i="27"/>
  <c r="D97" i="27"/>
  <c r="E97" i="27"/>
  <c r="F97" i="27"/>
  <c r="C98" i="27"/>
  <c r="G98" i="27"/>
  <c r="C99" i="27"/>
  <c r="G99" i="27"/>
  <c r="C100" i="27"/>
  <c r="G100" i="27"/>
  <c r="C101" i="27"/>
  <c r="G101" i="27"/>
  <c r="C102" i="27"/>
  <c r="G102" i="27"/>
  <c r="C103" i="27"/>
  <c r="G103" i="27"/>
  <c r="C104" i="27"/>
  <c r="G104" i="27"/>
  <c r="C105" i="27"/>
  <c r="G105" i="27"/>
  <c r="C106" i="27"/>
  <c r="G106" i="27"/>
  <c r="C107" i="27"/>
  <c r="G107" i="27"/>
  <c r="C108" i="27"/>
  <c r="G108" i="27"/>
  <c r="C109" i="27"/>
  <c r="G109" i="27"/>
  <c r="F110" i="27"/>
  <c r="C111" i="27"/>
  <c r="G111" i="27"/>
  <c r="C112" i="27"/>
  <c r="G112" i="27"/>
  <c r="C113" i="27"/>
  <c r="G113" i="27"/>
  <c r="C114" i="27"/>
  <c r="G114" i="27"/>
  <c r="C115" i="27"/>
  <c r="G115" i="27"/>
  <c r="C116" i="27"/>
  <c r="G116" i="27"/>
  <c r="C117" i="27"/>
  <c r="G117" i="27"/>
  <c r="C118" i="27"/>
  <c r="G118" i="27"/>
  <c r="C119" i="27"/>
  <c r="G119" i="27"/>
  <c r="C120" i="27"/>
  <c r="G120" i="27"/>
  <c r="C121" i="27"/>
  <c r="G121" i="27"/>
  <c r="C123" i="27"/>
  <c r="G123" i="27"/>
  <c r="D124" i="27"/>
  <c r="C124" i="27"/>
  <c r="G124" i="27"/>
  <c r="C125" i="27"/>
  <c r="G125" i="27"/>
  <c r="D126" i="27"/>
  <c r="C126" i="27"/>
  <c r="G126" i="27"/>
  <c r="C127" i="27"/>
  <c r="G127" i="27"/>
  <c r="C128" i="27"/>
  <c r="G128" i="27"/>
  <c r="C129" i="27"/>
  <c r="G129" i="27"/>
  <c r="C130" i="27"/>
  <c r="G130" i="27"/>
  <c r="C131" i="27"/>
  <c r="G131" i="27"/>
  <c r="D132" i="27"/>
  <c r="C132" i="27"/>
  <c r="G132" i="27"/>
  <c r="C134" i="27"/>
  <c r="G134" i="27"/>
  <c r="C135" i="27"/>
  <c r="G135" i="27"/>
  <c r="D136" i="27"/>
  <c r="C136" i="27"/>
  <c r="G136" i="27"/>
  <c r="C137" i="27"/>
  <c r="G137" i="27"/>
  <c r="D139" i="27"/>
  <c r="C139" i="27"/>
  <c r="G139" i="27"/>
  <c r="C140" i="27"/>
  <c r="G140" i="27"/>
  <c r="C142" i="27"/>
  <c r="G142" i="27"/>
  <c r="C143" i="27"/>
  <c r="G143" i="27"/>
  <c r="D144" i="27"/>
  <c r="C144" i="27"/>
  <c r="G144" i="27"/>
  <c r="C145" i="27"/>
  <c r="G145" i="27"/>
  <c r="C146" i="27"/>
  <c r="G146" i="27"/>
  <c r="C147" i="27"/>
  <c r="G147" i="27"/>
  <c r="C148" i="27"/>
  <c r="G148" i="27"/>
  <c r="C149" i="27"/>
  <c r="G149" i="27"/>
  <c r="C150" i="27"/>
  <c r="G150" i="27"/>
  <c r="E110" i="27"/>
  <c r="C156" i="27"/>
  <c r="F156" i="27"/>
  <c r="E157" i="27"/>
  <c r="F157" i="27"/>
  <c r="D748" i="36"/>
  <c r="D749" i="36"/>
  <c r="F158" i="27"/>
  <c r="C159" i="27"/>
  <c r="F159" i="27"/>
  <c r="F160" i="27"/>
  <c r="D162" i="27"/>
  <c r="E162" i="27"/>
  <c r="F162" i="27"/>
  <c r="C163" i="27"/>
  <c r="G163" i="27"/>
  <c r="F164" i="27"/>
  <c r="E165" i="27"/>
  <c r="C165" i="27"/>
  <c r="G165" i="27"/>
  <c r="C166" i="27"/>
  <c r="G166" i="27"/>
  <c r="C167" i="27"/>
  <c r="G167" i="27"/>
  <c r="C168" i="27"/>
  <c r="G168" i="27"/>
  <c r="F787" i="44"/>
  <c r="E375" i="24"/>
  <c r="O1513" i="40"/>
  <c r="P1513" i="40"/>
  <c r="M133" i="22"/>
  <c r="L126" i="22"/>
  <c r="L122" i="22"/>
  <c r="R115" i="22"/>
  <c r="R88" i="22"/>
  <c r="G14" i="22"/>
  <c r="M14" i="22"/>
  <c r="R264" i="22"/>
  <c r="R249" i="22"/>
  <c r="L246" i="22"/>
  <c r="R226" i="22"/>
  <c r="L203" i="22"/>
  <c r="L146" i="22"/>
  <c r="R144" i="22"/>
  <c r="R141" i="22"/>
  <c r="M127" i="22"/>
  <c r="R121" i="22"/>
  <c r="R112" i="22"/>
  <c r="M31" i="22"/>
  <c r="R265" i="22"/>
  <c r="L226" i="22"/>
  <c r="R66" i="22"/>
  <c r="M268" i="22"/>
  <c r="M226" i="22"/>
  <c r="L205" i="22"/>
  <c r="L165" i="22"/>
  <c r="M161" i="22"/>
  <c r="M142" i="22"/>
  <c r="L138" i="22"/>
  <c r="M117" i="22"/>
  <c r="M113" i="22"/>
  <c r="L31" i="22"/>
  <c r="J269" i="1"/>
  <c r="R173" i="22"/>
  <c r="M165" i="22"/>
  <c r="R164" i="22"/>
  <c r="M160" i="22"/>
  <c r="L150" i="22"/>
  <c r="R172" i="22"/>
  <c r="R204" i="22"/>
  <c r="R167" i="22"/>
  <c r="R138" i="22"/>
  <c r="M139" i="22"/>
  <c r="R118" i="22"/>
  <c r="L117" i="22"/>
  <c r="R14" i="22"/>
  <c r="R146" i="22"/>
  <c r="M147" i="22"/>
  <c r="R15" i="22"/>
  <c r="R207" i="22"/>
  <c r="M166" i="22"/>
  <c r="R140" i="22"/>
  <c r="M120" i="22"/>
  <c r="L118" i="22"/>
  <c r="M209" i="22"/>
  <c r="M208" i="22"/>
  <c r="M205" i="22"/>
  <c r="L166" i="22"/>
  <c r="R157" i="22"/>
  <c r="L147" i="22"/>
  <c r="L145" i="22"/>
  <c r="M122" i="22"/>
  <c r="R113" i="22"/>
  <c r="M114" i="22"/>
  <c r="M189" i="22"/>
  <c r="R170" i="22"/>
  <c r="L142" i="22"/>
  <c r="K142" i="22"/>
  <c r="K159" i="22"/>
  <c r="K151" i="22"/>
  <c r="R225" i="22"/>
  <c r="K226" i="22"/>
  <c r="K202" i="22"/>
  <c r="K92" i="22"/>
  <c r="L92" i="22"/>
  <c r="M92" i="22"/>
  <c r="K267" i="22"/>
  <c r="K140" i="22"/>
  <c r="K136" i="22"/>
  <c r="K64" i="22"/>
  <c r="L140" i="22"/>
  <c r="R135" i="22"/>
  <c r="R285" i="22"/>
  <c r="M151" i="22"/>
  <c r="M247" i="22"/>
  <c r="M250" i="22"/>
  <c r="L136" i="22"/>
  <c r="L22" i="22"/>
  <c r="L245" i="22"/>
  <c r="M264" i="22"/>
  <c r="M138" i="22"/>
  <c r="R247" i="22"/>
  <c r="R263" i="22"/>
  <c r="L262" i="22"/>
  <c r="L114" i="22"/>
  <c r="R136" i="22"/>
  <c r="E219" i="24"/>
  <c r="O1502" i="40"/>
  <c r="D418" i="24"/>
  <c r="F418" i="24"/>
  <c r="O32" i="15"/>
  <c r="Q262" i="1"/>
  <c r="C405" i="41"/>
  <c r="E151" i="41"/>
  <c r="C269" i="39"/>
  <c r="C460" i="36"/>
  <c r="F460" i="36"/>
  <c r="C603" i="36"/>
  <c r="C559" i="36"/>
  <c r="F559" i="36"/>
  <c r="C515" i="36"/>
  <c r="C273" i="36"/>
  <c r="C251" i="36"/>
  <c r="C141" i="36"/>
  <c r="I83" i="39"/>
  <c r="J83" i="39"/>
  <c r="C394" i="36"/>
  <c r="C306" i="36"/>
  <c r="F306" i="36"/>
  <c r="C196" i="36"/>
  <c r="C20" i="36"/>
  <c r="C636" i="36"/>
  <c r="C548" i="36"/>
  <c r="C471" i="36"/>
  <c r="C284" i="36"/>
  <c r="C31" i="36"/>
  <c r="F161" i="27"/>
  <c r="C88" i="27"/>
  <c r="G88" i="27"/>
  <c r="E82" i="27"/>
  <c r="C82" i="27"/>
  <c r="G82" i="27"/>
  <c r="C161" i="27"/>
  <c r="G161" i="27"/>
  <c r="C157" i="27"/>
  <c r="G157" i="27"/>
  <c r="E155" i="27"/>
  <c r="C138" i="27"/>
  <c r="G138" i="27"/>
  <c r="E766" i="42"/>
  <c r="C158" i="27"/>
  <c r="C743" i="36"/>
  <c r="C151" i="27"/>
  <c r="G151" i="27"/>
  <c r="C186" i="39"/>
  <c r="E186" i="39"/>
  <c r="F35" i="24"/>
  <c r="F132" i="24"/>
  <c r="M304" i="40"/>
  <c r="M182" i="40"/>
  <c r="G29" i="39"/>
  <c r="H95" i="39"/>
  <c r="H86" i="39"/>
  <c r="H69" i="39"/>
  <c r="N206" i="1"/>
  <c r="V205" i="1"/>
  <c r="F273" i="1"/>
  <c r="E278" i="1"/>
  <c r="T312" i="1"/>
  <c r="O296" i="1"/>
  <c r="V312" i="1"/>
  <c r="F160" i="1"/>
  <c r="E184" i="1"/>
  <c r="R184" i="1"/>
  <c r="E54" i="1"/>
  <c r="R54" i="1"/>
  <c r="V252" i="1"/>
  <c r="O205" i="1"/>
  <c r="O206" i="1"/>
  <c r="V238" i="1"/>
  <c r="K282" i="1"/>
  <c r="J287" i="1"/>
  <c r="N281" i="1"/>
  <c r="J284" i="1"/>
  <c r="T238" i="1"/>
  <c r="J235" i="1"/>
  <c r="P84" i="1"/>
  <c r="P85" i="1"/>
  <c r="O297" i="1"/>
  <c r="O326" i="1"/>
  <c r="V296" i="1"/>
  <c r="K281" i="1"/>
  <c r="F274" i="1"/>
  <c r="P120" i="1"/>
  <c r="T126" i="1"/>
  <c r="P119" i="1"/>
  <c r="L120" i="1"/>
  <c r="L119" i="1"/>
  <c r="E57" i="1"/>
  <c r="R57" i="1"/>
  <c r="N282" i="1"/>
  <c r="E157" i="1"/>
  <c r="R157" i="1"/>
  <c r="F154" i="1"/>
  <c r="K47" i="15"/>
  <c r="F119" i="1"/>
  <c r="N17" i="1"/>
  <c r="V28" i="1"/>
  <c r="N18" i="1"/>
  <c r="V18" i="1"/>
  <c r="K160" i="1"/>
  <c r="P206" i="1"/>
  <c r="P326" i="1"/>
  <c r="P328" i="1"/>
  <c r="M128" i="22"/>
  <c r="L128" i="22"/>
  <c r="F84" i="1"/>
  <c r="F85" i="1"/>
  <c r="V241" i="1"/>
  <c r="N205" i="1"/>
  <c r="V204" i="1"/>
  <c r="J242" i="1"/>
  <c r="K58" i="15"/>
  <c r="J254" i="1"/>
  <c r="K206" i="1"/>
  <c r="K205" i="1"/>
  <c r="R65" i="22"/>
  <c r="M1289" i="40"/>
  <c r="M1537" i="40"/>
  <c r="M1504" i="40"/>
  <c r="M1300" i="40"/>
  <c r="M1519" i="40"/>
  <c r="M1543" i="40"/>
  <c r="M1511" i="40"/>
  <c r="M1496" i="40"/>
  <c r="M1547" i="40"/>
  <c r="M1542" i="40"/>
  <c r="M1532" i="40"/>
  <c r="M1525" i="40"/>
  <c r="M1500" i="40"/>
  <c r="M581" i="40"/>
  <c r="M1527" i="40"/>
  <c r="M1553" i="40"/>
  <c r="D214" i="40"/>
  <c r="C792" i="44"/>
  <c r="M979" i="40"/>
  <c r="F380" i="24"/>
  <c r="M212" i="40"/>
  <c r="M1322" i="40"/>
  <c r="M165" i="40"/>
  <c r="F229" i="41"/>
  <c r="F130" i="41"/>
  <c r="F98" i="41"/>
  <c r="F482" i="41"/>
  <c r="F448" i="41"/>
  <c r="C217" i="41"/>
  <c r="C711" i="41"/>
  <c r="F711" i="41"/>
  <c r="F558" i="41"/>
  <c r="F526" i="41"/>
  <c r="F438" i="41"/>
  <c r="F251" i="41"/>
  <c r="F163" i="41"/>
  <c r="F120" i="41"/>
  <c r="C129" i="41"/>
  <c r="F129" i="41"/>
  <c r="F55" i="41"/>
  <c r="F405" i="41"/>
  <c r="F393" i="41"/>
  <c r="F10" i="41"/>
  <c r="F624" i="41"/>
  <c r="C623" i="41"/>
  <c r="F623" i="41"/>
  <c r="F340" i="41"/>
  <c r="C250" i="41"/>
  <c r="F250" i="41"/>
  <c r="F284" i="36"/>
  <c r="H70" i="39"/>
  <c r="F196" i="36"/>
  <c r="H62" i="39"/>
  <c r="H80" i="39"/>
  <c r="F394" i="36"/>
  <c r="F141" i="36"/>
  <c r="H57" i="39"/>
  <c r="F603" i="36"/>
  <c r="H99" i="39"/>
  <c r="F724" i="36"/>
  <c r="H110" i="39"/>
  <c r="F691" i="36"/>
  <c r="H107" i="39"/>
  <c r="F659" i="36"/>
  <c r="C669" i="36"/>
  <c r="C658" i="36"/>
  <c r="I103" i="39"/>
  <c r="F571" i="36"/>
  <c r="C581" i="36"/>
  <c r="C570" i="36"/>
  <c r="F562" i="36"/>
  <c r="C427" i="36"/>
  <c r="F418" i="36"/>
  <c r="F262" i="36"/>
  <c r="H68" i="39"/>
  <c r="F177" i="36"/>
  <c r="C185" i="36"/>
  <c r="F120" i="36"/>
  <c r="C130" i="36"/>
  <c r="F44" i="36"/>
  <c r="C53" i="36"/>
  <c r="H72" i="39"/>
  <c r="H87" i="39"/>
  <c r="F471" i="36"/>
  <c r="F20" i="36"/>
  <c r="F251" i="36"/>
  <c r="H67" i="39"/>
  <c r="C449" i="36"/>
  <c r="C647" i="36"/>
  <c r="H111" i="39"/>
  <c r="F735" i="36"/>
  <c r="C713" i="36"/>
  <c r="F703" i="36"/>
  <c r="F694" i="36"/>
  <c r="C702" i="36"/>
  <c r="F528" i="36"/>
  <c r="C537" i="36"/>
  <c r="C361" i="36"/>
  <c r="F354" i="36"/>
  <c r="F320" i="36"/>
  <c r="C328" i="36"/>
  <c r="F155" i="36"/>
  <c r="C163" i="36"/>
  <c r="F145" i="36"/>
  <c r="C152" i="36"/>
  <c r="F119" i="36"/>
  <c r="H55" i="39"/>
  <c r="C50" i="39"/>
  <c r="D736" i="36"/>
  <c r="D743" i="36"/>
  <c r="F56" i="36"/>
  <c r="C64" i="36"/>
  <c r="F32" i="36"/>
  <c r="C42" i="36"/>
  <c r="F650" i="36"/>
  <c r="F67" i="36"/>
  <c r="C75" i="36"/>
  <c r="C192" i="39"/>
  <c r="E736" i="36"/>
  <c r="E743" i="36"/>
  <c r="H46" i="39"/>
  <c r="F31" i="36"/>
  <c r="H47" i="39"/>
  <c r="F548" i="36"/>
  <c r="H94" i="39"/>
  <c r="F515" i="36"/>
  <c r="H91" i="39"/>
  <c r="F616" i="36"/>
  <c r="C625" i="36"/>
  <c r="F475" i="36"/>
  <c r="C482" i="36"/>
  <c r="C405" i="36"/>
  <c r="F395" i="36"/>
  <c r="F372" i="36"/>
  <c r="H78" i="39"/>
  <c r="F286" i="36"/>
  <c r="C295" i="36"/>
  <c r="F636" i="36"/>
  <c r="H102" i="39"/>
  <c r="C317" i="36"/>
  <c r="C680" i="36"/>
  <c r="C592" i="36"/>
  <c r="F485" i="36"/>
  <c r="C493" i="36"/>
  <c r="F408" i="36"/>
  <c r="C416" i="36"/>
  <c r="F233" i="36"/>
  <c r="C240" i="36"/>
  <c r="F98" i="36"/>
  <c r="C108" i="36"/>
  <c r="F87" i="36"/>
  <c r="C97" i="36"/>
  <c r="F76" i="36"/>
  <c r="C86" i="36"/>
  <c r="F273" i="36"/>
  <c r="F362" i="36"/>
  <c r="C383" i="36"/>
  <c r="C504" i="36"/>
  <c r="C218" i="36"/>
  <c r="F164" i="36"/>
  <c r="C174" i="36"/>
  <c r="F726" i="36"/>
  <c r="F670" i="36"/>
  <c r="F582" i="36"/>
  <c r="F254" i="36"/>
  <c r="C207" i="36"/>
  <c r="C229" i="36"/>
  <c r="C339" i="36"/>
  <c r="C526" i="36"/>
  <c r="C614" i="36"/>
  <c r="C350" i="36"/>
  <c r="C438" i="36"/>
  <c r="E27" i="27"/>
  <c r="C27" i="27"/>
  <c r="E164" i="27"/>
  <c r="C164" i="27"/>
  <c r="G164" i="27"/>
  <c r="D792" i="44"/>
  <c r="F438" i="36"/>
  <c r="H84" i="39"/>
  <c r="F526" i="36"/>
  <c r="H92" i="39"/>
  <c r="F207" i="36"/>
  <c r="H63" i="39"/>
  <c r="F97" i="36"/>
  <c r="H53" i="39"/>
  <c r="F240" i="36"/>
  <c r="H66" i="39"/>
  <c r="F482" i="36"/>
  <c r="H88" i="39"/>
  <c r="F163" i="36"/>
  <c r="H59" i="39"/>
  <c r="H108" i="39"/>
  <c r="F702" i="36"/>
  <c r="F185" i="36"/>
  <c r="H61" i="39"/>
  <c r="F427" i="36"/>
  <c r="H83" i="39"/>
  <c r="F669" i="36"/>
  <c r="H105" i="39"/>
  <c r="F339" i="36"/>
  <c r="H75" i="39"/>
  <c r="F229" i="36"/>
  <c r="H65" i="39"/>
  <c r="F218" i="36"/>
  <c r="H64" i="39"/>
  <c r="F42" i="36"/>
  <c r="H48" i="39"/>
  <c r="F328" i="36"/>
  <c r="H74" i="39"/>
  <c r="F713" i="36"/>
  <c r="H109" i="39"/>
  <c r="H103" i="39"/>
  <c r="F647" i="36"/>
  <c r="H76" i="39"/>
  <c r="F350" i="36"/>
  <c r="F504" i="36"/>
  <c r="H90" i="39"/>
  <c r="F86" i="36"/>
  <c r="H52" i="39"/>
  <c r="F108" i="36"/>
  <c r="H54" i="39"/>
  <c r="F416" i="36"/>
  <c r="H82" i="39"/>
  <c r="F493" i="36"/>
  <c r="H89" i="39"/>
  <c r="F592" i="36"/>
  <c r="H98" i="39"/>
  <c r="F317" i="36"/>
  <c r="H73" i="39"/>
  <c r="F295" i="36"/>
  <c r="H71" i="39"/>
  <c r="F625" i="36"/>
  <c r="H101" i="39"/>
  <c r="F152" i="36"/>
  <c r="H58" i="39"/>
  <c r="F361" i="36"/>
  <c r="H77" i="39"/>
  <c r="F537" i="36"/>
  <c r="H93" i="39"/>
  <c r="F449" i="36"/>
  <c r="H85" i="39"/>
  <c r="F53" i="36"/>
  <c r="H49" i="39"/>
  <c r="F130" i="36"/>
  <c r="H56" i="39"/>
  <c r="F581" i="36"/>
  <c r="H97" i="39"/>
  <c r="H104" i="39"/>
  <c r="F658" i="36"/>
  <c r="H100" i="39"/>
  <c r="F614" i="36"/>
  <c r="H60" i="39"/>
  <c r="F174" i="36"/>
  <c r="H79" i="39"/>
  <c r="F383" i="36"/>
  <c r="F680" i="36"/>
  <c r="H106" i="39"/>
  <c r="F405" i="36"/>
  <c r="H81" i="39"/>
  <c r="F75" i="36"/>
  <c r="H51" i="39"/>
  <c r="F64" i="36"/>
  <c r="H50" i="39"/>
  <c r="C736" i="36"/>
  <c r="H96" i="39"/>
  <c r="F570" i="36"/>
  <c r="F361" i="24"/>
  <c r="F110" i="24"/>
  <c r="F78" i="24"/>
  <c r="F154" i="24"/>
  <c r="F440" i="24"/>
  <c r="F494" i="24"/>
  <c r="F841" i="24"/>
  <c r="F599" i="24"/>
  <c r="F308" i="24"/>
  <c r="O1060" i="40"/>
  <c r="F298" i="24"/>
  <c r="F296" i="24"/>
  <c r="F249" i="24"/>
  <c r="F109" i="24"/>
  <c r="F228" i="24"/>
  <c r="F1013" i="24"/>
  <c r="F245" i="24"/>
  <c r="F307" i="24"/>
  <c r="F58" i="24"/>
  <c r="F1006" i="24"/>
  <c r="F77" i="24"/>
  <c r="F745" i="24"/>
  <c r="F22" i="24"/>
  <c r="F592" i="24"/>
  <c r="F239" i="24"/>
  <c r="F840" i="24"/>
  <c r="F1201" i="24"/>
  <c r="F1080" i="24"/>
  <c r="F309" i="24"/>
  <c r="F59" i="24"/>
  <c r="F246" i="24"/>
  <c r="F947" i="24"/>
  <c r="F1300" i="24"/>
  <c r="F593" i="24"/>
  <c r="F174" i="24"/>
  <c r="F161" i="24"/>
  <c r="F323" i="24"/>
  <c r="F1111" i="24"/>
  <c r="O1512" i="40"/>
  <c r="F1241" i="24"/>
  <c r="F365" i="24"/>
  <c r="F590" i="24"/>
  <c r="F1247" i="24"/>
  <c r="F217" i="41"/>
  <c r="C491" i="41"/>
  <c r="F491" i="41"/>
  <c r="C206" i="41"/>
  <c r="F206" i="41"/>
  <c r="C370" i="41"/>
  <c r="F370" i="41"/>
  <c r="C667" i="41"/>
  <c r="F667" i="41"/>
  <c r="F547" i="41"/>
  <c r="C557" i="41"/>
  <c r="F557" i="41"/>
  <c r="C184" i="41"/>
  <c r="F184" i="41"/>
  <c r="C173" i="41"/>
  <c r="F173" i="41"/>
  <c r="C535" i="41"/>
  <c r="F535" i="41"/>
  <c r="C689" i="41"/>
  <c r="F689" i="41"/>
  <c r="C678" i="41"/>
  <c r="F678" i="41"/>
  <c r="C392" i="41"/>
  <c r="F392" i="41"/>
  <c r="C140" i="41"/>
  <c r="F140" i="41"/>
  <c r="C579" i="41"/>
  <c r="F579" i="41"/>
  <c r="C31" i="41"/>
  <c r="F31" i="41"/>
  <c r="C645" i="41"/>
  <c r="F645" i="41"/>
  <c r="C414" i="41"/>
  <c r="F174" i="41"/>
  <c r="C601" i="41"/>
  <c r="F601" i="41"/>
  <c r="C381" i="41"/>
  <c r="F381" i="41"/>
  <c r="F736" i="36"/>
  <c r="F404" i="41"/>
  <c r="F414" i="41"/>
  <c r="C634" i="41"/>
  <c r="F634" i="41"/>
  <c r="F104" i="41"/>
  <c r="C107" i="41"/>
  <c r="F107" i="41"/>
  <c r="F152" i="41"/>
  <c r="C162" i="41"/>
  <c r="F162" i="41"/>
  <c r="C96" i="41"/>
  <c r="F96" i="41"/>
  <c r="C403" i="41"/>
  <c r="F403" i="41"/>
  <c r="C447" i="41"/>
  <c r="F447" i="41"/>
  <c r="C700" i="41"/>
  <c r="F700" i="41"/>
  <c r="F646" i="41"/>
  <c r="C656" i="41"/>
  <c r="F656" i="41"/>
  <c r="F470" i="41"/>
  <c r="C480" i="41"/>
  <c r="F480" i="41"/>
  <c r="F311" i="41"/>
  <c r="C316" i="41"/>
  <c r="F316" i="41"/>
  <c r="F296" i="41"/>
  <c r="C305" i="41"/>
  <c r="F305" i="41"/>
  <c r="F537" i="41"/>
  <c r="C546" i="41"/>
  <c r="F546" i="41"/>
  <c r="F450" i="41"/>
  <c r="C458" i="41"/>
  <c r="F458" i="41"/>
  <c r="F345" i="41"/>
  <c r="C349" i="41"/>
  <c r="F349" i="41"/>
  <c r="F75" i="41"/>
  <c r="C85" i="41"/>
  <c r="F85" i="41"/>
  <c r="F68" i="41"/>
  <c r="C74" i="41"/>
  <c r="F74" i="41"/>
  <c r="F61" i="41"/>
  <c r="C64" i="41"/>
  <c r="F64" i="41"/>
  <c r="F17" i="41"/>
  <c r="C20" i="41"/>
  <c r="C469" i="41"/>
  <c r="F469" i="41"/>
  <c r="C513" i="41"/>
  <c r="F513" i="41"/>
  <c r="C590" i="41"/>
  <c r="F590" i="41"/>
  <c r="C294" i="41"/>
  <c r="F294" i="41"/>
  <c r="C239" i="41"/>
  <c r="F239" i="41"/>
  <c r="C722" i="41"/>
  <c r="F722" i="41"/>
  <c r="C568" i="41"/>
  <c r="F568" i="41"/>
  <c r="F415" i="41"/>
  <c r="C425" i="41"/>
  <c r="F425" i="41"/>
  <c r="F318" i="41"/>
  <c r="C327" i="41"/>
  <c r="F327" i="41"/>
  <c r="F220" i="41"/>
  <c r="C228" i="41"/>
  <c r="F228" i="41"/>
  <c r="F112" i="41"/>
  <c r="C118" i="41"/>
  <c r="F118" i="41"/>
  <c r="F37" i="41"/>
  <c r="C42" i="41"/>
  <c r="F42" i="41"/>
  <c r="D734" i="41"/>
  <c r="D160" i="27"/>
  <c r="C160" i="27"/>
  <c r="E734" i="41"/>
  <c r="C733" i="41"/>
  <c r="F733" i="41"/>
  <c r="C360" i="41"/>
  <c r="F360" i="41"/>
  <c r="C151" i="41"/>
  <c r="F151" i="41"/>
  <c r="F426" i="41"/>
  <c r="C436" i="41"/>
  <c r="F436" i="41"/>
  <c r="F333" i="41"/>
  <c r="C338" i="41"/>
  <c r="F338" i="41"/>
  <c r="F273" i="41"/>
  <c r="C283" i="41"/>
  <c r="F283" i="41"/>
  <c r="F266" i="41"/>
  <c r="C272" i="41"/>
  <c r="F272" i="41"/>
  <c r="F185" i="41"/>
  <c r="C195" i="41"/>
  <c r="F195" i="41"/>
  <c r="F46" i="41"/>
  <c r="C53" i="41"/>
  <c r="F53" i="41"/>
  <c r="C502" i="41"/>
  <c r="F502" i="41"/>
  <c r="C612" i="41"/>
  <c r="F612" i="41"/>
  <c r="C261" i="41"/>
  <c r="F261" i="41"/>
  <c r="C524" i="41"/>
  <c r="F524" i="41"/>
  <c r="F20" i="41"/>
  <c r="C734" i="41"/>
  <c r="F734" i="41"/>
  <c r="E741" i="41"/>
  <c r="D746" i="41"/>
  <c r="D747" i="41"/>
  <c r="D155" i="27"/>
  <c r="D741" i="41"/>
  <c r="F756" i="24"/>
  <c r="F1108" i="24"/>
  <c r="F787" i="24"/>
  <c r="F847" i="24"/>
  <c r="F529" i="24"/>
  <c r="F1347" i="24"/>
  <c r="F352" i="24"/>
  <c r="F131" i="24"/>
  <c r="D1356" i="24"/>
  <c r="O1122" i="40"/>
  <c r="D1367" i="24"/>
  <c r="O1123" i="40"/>
  <c r="F477" i="24"/>
  <c r="F1103" i="24"/>
  <c r="F158" i="24"/>
  <c r="F237" i="24"/>
  <c r="E1154" i="24"/>
  <c r="D638" i="24"/>
  <c r="F638" i="24"/>
  <c r="O1093" i="40"/>
  <c r="D73" i="24"/>
  <c r="C62" i="24"/>
  <c r="F967" i="24"/>
  <c r="F60" i="24"/>
  <c r="F399" i="24"/>
  <c r="C1357" i="24"/>
  <c r="F1357" i="24"/>
  <c r="D972" i="24"/>
  <c r="D846" i="24"/>
  <c r="O1104" i="40"/>
  <c r="P1104" i="40"/>
  <c r="F63" i="24"/>
  <c r="F782" i="24"/>
  <c r="F570" i="24"/>
  <c r="F371" i="24"/>
  <c r="F351" i="24"/>
  <c r="F734" i="24"/>
  <c r="F340" i="24"/>
  <c r="F83" i="24"/>
  <c r="F250" i="24"/>
  <c r="F579" i="24"/>
  <c r="F493" i="24"/>
  <c r="F582" i="24"/>
  <c r="F568" i="24"/>
  <c r="O1517" i="40"/>
  <c r="F842" i="24"/>
  <c r="F390" i="24"/>
  <c r="F1068" i="24"/>
  <c r="O1108" i="40"/>
  <c r="F806" i="24"/>
  <c r="F65" i="24"/>
  <c r="F999" i="24"/>
  <c r="F381" i="24"/>
  <c r="F130" i="24"/>
  <c r="F247" i="24"/>
  <c r="F145" i="24"/>
  <c r="F102" i="24"/>
  <c r="F79" i="24"/>
  <c r="R13" i="22"/>
  <c r="M230" i="22"/>
  <c r="K230" i="22"/>
  <c r="L230" i="22"/>
  <c r="K221" i="22"/>
  <c r="R220" i="22"/>
  <c r="R127" i="22"/>
  <c r="K128" i="22"/>
  <c r="I155" i="22"/>
  <c r="R154" i="22"/>
  <c r="I154" i="22"/>
  <c r="R137" i="22"/>
  <c r="G215" i="22"/>
  <c r="I237" i="22"/>
  <c r="K234" i="22"/>
  <c r="L234" i="22"/>
  <c r="M234" i="22"/>
  <c r="R233" i="22"/>
  <c r="K216" i="22"/>
  <c r="I212" i="22"/>
  <c r="M204" i="22"/>
  <c r="M201" i="22"/>
  <c r="L201" i="22"/>
  <c r="L144" i="22"/>
  <c r="K144" i="22"/>
  <c r="M144" i="22"/>
  <c r="R143" i="22"/>
  <c r="K134" i="22"/>
  <c r="L134" i="22"/>
  <c r="M134" i="22"/>
  <c r="L249" i="22"/>
  <c r="K242" i="22"/>
  <c r="M242" i="22"/>
  <c r="L242" i="22"/>
  <c r="R241" i="22"/>
  <c r="K157" i="22"/>
  <c r="R16" i="22"/>
  <c r="K162" i="22"/>
  <c r="M162" i="22"/>
  <c r="R152" i="22"/>
  <c r="L162" i="22"/>
  <c r="K105" i="22"/>
  <c r="R145" i="22"/>
  <c r="L196" i="22"/>
  <c r="K146" i="22"/>
  <c r="K94" i="22"/>
  <c r="M16" i="22"/>
  <c r="R93" i="22"/>
  <c r="M81" i="22"/>
  <c r="G220" i="22"/>
  <c r="M220" i="22"/>
  <c r="M93" i="22"/>
  <c r="L87" i="22"/>
  <c r="M87" i="22"/>
  <c r="K79" i="22"/>
  <c r="M79" i="22"/>
  <c r="I28" i="22"/>
  <c r="K244" i="22"/>
  <c r="R87" i="22"/>
  <c r="M118" i="22"/>
  <c r="L121" i="22"/>
  <c r="R129" i="22"/>
  <c r="K247" i="22"/>
  <c r="R246" i="22"/>
  <c r="L247" i="22"/>
  <c r="L209" i="22"/>
  <c r="M186" i="22"/>
  <c r="K180" i="22"/>
  <c r="K30" i="22"/>
  <c r="R61" i="22"/>
  <c r="K225" i="22"/>
  <c r="M115" i="22"/>
  <c r="K219" i="22"/>
  <c r="L149" i="22"/>
  <c r="M262" i="22"/>
  <c r="M152" i="22"/>
  <c r="R142" i="22"/>
  <c r="R182" i="22"/>
  <c r="L135" i="22"/>
  <c r="L152" i="22"/>
  <c r="L15" i="22"/>
  <c r="R209" i="22"/>
  <c r="K245" i="22"/>
  <c r="M245" i="22"/>
  <c r="M227" i="22"/>
  <c r="K227" i="22"/>
  <c r="L151" i="22"/>
  <c r="R150" i="22"/>
  <c r="R120" i="22"/>
  <c r="M121" i="22"/>
  <c r="N24" i="22"/>
  <c r="H111" i="22"/>
  <c r="H110" i="22"/>
  <c r="G123" i="22"/>
  <c r="R122" i="22"/>
  <c r="K182" i="22"/>
  <c r="R181" i="22"/>
  <c r="K98" i="22"/>
  <c r="K70" i="22"/>
  <c r="M70" i="22"/>
  <c r="R219" i="22"/>
  <c r="K220" i="22"/>
  <c r="R58" i="22"/>
  <c r="K196" i="22"/>
  <c r="M149" i="22"/>
  <c r="R148" i="22"/>
  <c r="G104" i="22"/>
  <c r="K104" i="22"/>
  <c r="R200" i="22"/>
  <c r="M88" i="22"/>
  <c r="R266" i="22"/>
  <c r="R238" i="22"/>
  <c r="K243" i="22"/>
  <c r="K239" i="22"/>
  <c r="G38" i="22"/>
  <c r="K38" i="22"/>
  <c r="M135" i="22"/>
  <c r="R151" i="22"/>
  <c r="L141" i="22"/>
  <c r="M263" i="22"/>
  <c r="R227" i="22"/>
  <c r="K229" i="22"/>
  <c r="R218" i="22"/>
  <c r="R166" i="22"/>
  <c r="M167" i="22"/>
  <c r="L137" i="22"/>
  <c r="K137" i="22"/>
  <c r="K120" i="22"/>
  <c r="L120" i="22"/>
  <c r="K88" i="22"/>
  <c r="K81" i="22"/>
  <c r="K240" i="22"/>
  <c r="R97" i="22"/>
  <c r="M218" i="22"/>
  <c r="M239" i="22"/>
  <c r="R134" i="22"/>
  <c r="M15" i="22"/>
  <c r="M266" i="22"/>
  <c r="R128" i="22"/>
  <c r="L225" i="22"/>
  <c r="R196" i="22"/>
  <c r="K198" i="22"/>
  <c r="R169" i="22"/>
  <c r="K170" i="22"/>
  <c r="L143" i="22"/>
  <c r="L75" i="22"/>
  <c r="K75" i="22"/>
  <c r="K16" i="22"/>
  <c r="L16" i="22"/>
  <c r="K40" i="22"/>
  <c r="G44" i="22"/>
  <c r="K44" i="22"/>
  <c r="K42" i="22"/>
  <c r="K43" i="22"/>
  <c r="K41" i="22"/>
  <c r="M1126" i="40"/>
  <c r="M1491" i="40"/>
  <c r="M1123" i="40"/>
  <c r="M1509" i="40"/>
  <c r="D633" i="40"/>
  <c r="M633" i="40"/>
  <c r="M1518" i="40"/>
  <c r="M1536" i="40"/>
  <c r="D424" i="40"/>
  <c r="M424" i="40"/>
  <c r="M393" i="40"/>
  <c r="M1207" i="40"/>
  <c r="M1271" i="40"/>
  <c r="D1130" i="40"/>
  <c r="M1130" i="40"/>
  <c r="M1063" i="40"/>
  <c r="D440" i="40"/>
  <c r="M440" i="40"/>
  <c r="M1416" i="40"/>
  <c r="F1136" i="40"/>
  <c r="M1136" i="40"/>
  <c r="D1203" i="40"/>
  <c r="P1556" i="40"/>
  <c r="M576" i="40"/>
  <c r="M476" i="40"/>
  <c r="M1112" i="40"/>
  <c r="M839" i="40"/>
  <c r="F1283" i="24"/>
  <c r="F428" i="24"/>
  <c r="C663" i="24"/>
  <c r="G663" i="24"/>
  <c r="F662" i="24"/>
  <c r="F173" i="24"/>
  <c r="F1100" i="24"/>
  <c r="F836" i="24"/>
  <c r="O1111" i="40"/>
  <c r="F363" i="24"/>
  <c r="O1099" i="40"/>
  <c r="F328" i="24"/>
  <c r="E563" i="24"/>
  <c r="C15" i="27"/>
  <c r="G15" i="27"/>
  <c r="K123" i="22"/>
  <c r="G103" i="22"/>
  <c r="K103" i="22"/>
  <c r="E29" i="31"/>
  <c r="D31" i="31"/>
  <c r="J11" i="31"/>
  <c r="E269" i="1"/>
  <c r="R269" i="1"/>
  <c r="V269" i="1"/>
  <c r="Q27" i="1"/>
  <c r="S27" i="1"/>
  <c r="F1270" i="24"/>
  <c r="O1501" i="40"/>
  <c r="F985" i="24"/>
  <c r="F392" i="24"/>
  <c r="F1260" i="24"/>
  <c r="F844" i="24"/>
  <c r="F1351" i="24"/>
  <c r="F1081" i="24"/>
  <c r="F1007" i="24"/>
  <c r="F676" i="24"/>
  <c r="F357" i="24"/>
  <c r="F12" i="24"/>
  <c r="I160" i="1"/>
  <c r="Q118" i="1"/>
  <c r="E264" i="1"/>
  <c r="R264" i="1"/>
  <c r="M160" i="1"/>
  <c r="Q23" i="1"/>
  <c r="E263" i="1"/>
  <c r="Q239" i="1"/>
  <c r="J270" i="1"/>
  <c r="O23" i="22"/>
  <c r="O22" i="22"/>
  <c r="Q254" i="1"/>
  <c r="Q271" i="1"/>
  <c r="E270" i="1"/>
  <c r="R270" i="1"/>
  <c r="Q272" i="1"/>
  <c r="J264" i="1"/>
  <c r="F998" i="24"/>
  <c r="F27" i="24"/>
  <c r="F82" i="24"/>
  <c r="F747" i="24"/>
  <c r="F370" i="24"/>
  <c r="F38" i="24"/>
  <c r="F98" i="24"/>
  <c r="F382" i="24"/>
  <c r="F949" i="24"/>
  <c r="F451" i="24"/>
  <c r="F146" i="24"/>
  <c r="F142" i="24"/>
  <c r="F48" i="24"/>
  <c r="C84" i="24"/>
  <c r="F233" i="24"/>
  <c r="F1002" i="24"/>
  <c r="F143" i="24"/>
  <c r="F81" i="24"/>
  <c r="F288" i="24"/>
  <c r="F321" i="24"/>
  <c r="F362" i="24"/>
  <c r="C1345" i="24"/>
  <c r="G1345" i="24"/>
  <c r="F226" i="24"/>
  <c r="F730" i="24"/>
  <c r="F988" i="24"/>
  <c r="F675" i="24"/>
  <c r="F486" i="24"/>
  <c r="F347" i="24"/>
  <c r="F16" i="24"/>
  <c r="F588" i="24"/>
  <c r="C311" i="24"/>
  <c r="G311" i="24"/>
  <c r="F311" i="24"/>
  <c r="F1062" i="24"/>
  <c r="F478" i="24"/>
  <c r="F57" i="24"/>
  <c r="F176" i="24"/>
  <c r="F780" i="24"/>
  <c r="C133" i="24"/>
  <c r="G133" i="24"/>
  <c r="F736" i="24"/>
  <c r="F240" i="24"/>
  <c r="F156" i="24"/>
  <c r="F61" i="24"/>
  <c r="F1003" i="24"/>
  <c r="F763" i="24"/>
  <c r="F368" i="24"/>
  <c r="F335" i="24"/>
  <c r="F24" i="24"/>
  <c r="F15" i="24"/>
  <c r="E42" i="31"/>
  <c r="O43" i="31"/>
  <c r="C42" i="31"/>
  <c r="C52" i="31"/>
  <c r="M43" i="31"/>
  <c r="D10" i="31"/>
  <c r="E31" i="31"/>
  <c r="E52" i="31"/>
  <c r="E22" i="31"/>
  <c r="E28" i="31"/>
  <c r="D46" i="31"/>
  <c r="C33" i="20"/>
  <c r="D399" i="40"/>
  <c r="M399" i="40"/>
  <c r="M1291" i="40"/>
  <c r="M330" i="40"/>
  <c r="M313" i="40"/>
  <c r="M194" i="40"/>
  <c r="M174" i="40"/>
  <c r="M1235" i="40"/>
  <c r="D378" i="40"/>
  <c r="M378" i="40"/>
  <c r="M1325" i="40"/>
  <c r="M943" i="40"/>
  <c r="F996" i="24"/>
  <c r="F115" i="24"/>
  <c r="F772" i="24"/>
  <c r="F1060" i="24"/>
  <c r="F584" i="24"/>
  <c r="F37" i="24"/>
  <c r="F995" i="24"/>
  <c r="F391" i="24"/>
  <c r="F103" i="24"/>
  <c r="F1363" i="24"/>
  <c r="F349" i="24"/>
  <c r="F992" i="24"/>
  <c r="F101" i="24"/>
  <c r="F1076" i="24"/>
  <c r="F395" i="24"/>
  <c r="F770" i="24"/>
  <c r="F1354" i="24"/>
  <c r="F71" i="24"/>
  <c r="F761" i="24"/>
  <c r="F573" i="24"/>
  <c r="F1009" i="24"/>
  <c r="F739" i="24"/>
  <c r="F572" i="24"/>
  <c r="F495" i="24"/>
  <c r="F746" i="24"/>
  <c r="F329" i="24"/>
  <c r="F69" i="24"/>
  <c r="F498" i="24"/>
  <c r="O1522" i="40"/>
  <c r="F322" i="24"/>
  <c r="F236" i="24"/>
  <c r="F17" i="24"/>
  <c r="F1352" i="24"/>
  <c r="O1120" i="40"/>
  <c r="F990" i="24"/>
  <c r="F735" i="24"/>
  <c r="F346" i="24"/>
  <c r="C353" i="24"/>
  <c r="G353" i="24"/>
  <c r="F336" i="24"/>
  <c r="F571" i="24"/>
  <c r="O1117" i="40"/>
  <c r="O1076" i="40"/>
  <c r="P1076" i="40"/>
  <c r="F297" i="24"/>
  <c r="F771" i="24"/>
  <c r="O1518" i="40"/>
  <c r="F578" i="24"/>
  <c r="F1024" i="24"/>
  <c r="F583" i="24"/>
  <c r="F68" i="24"/>
  <c r="F1098" i="24"/>
  <c r="F749" i="24"/>
  <c r="F140" i="24"/>
  <c r="D52" i="31"/>
  <c r="H52" i="31"/>
  <c r="H10" i="31"/>
  <c r="D42" i="31"/>
  <c r="L232" i="22"/>
  <c r="K232" i="22"/>
  <c r="M232" i="22"/>
  <c r="M235" i="22"/>
  <c r="L235" i="22"/>
  <c r="G222" i="22"/>
  <c r="M222" i="22"/>
  <c r="R213" i="22"/>
  <c r="M215" i="22"/>
  <c r="K215" i="22"/>
  <c r="H28" i="22"/>
  <c r="P22" i="22"/>
  <c r="L24" i="22"/>
  <c r="R23" i="22"/>
  <c r="L14" i="22"/>
  <c r="K14" i="22"/>
  <c r="L24" i="15"/>
  <c r="L97" i="15"/>
  <c r="L27" i="15"/>
  <c r="I14" i="15"/>
  <c r="L14" i="15"/>
  <c r="L20" i="15"/>
  <c r="I19" i="15"/>
  <c r="L19" i="15"/>
  <c r="G30" i="15"/>
  <c r="I108" i="15"/>
  <c r="L109" i="15"/>
  <c r="L29" i="15"/>
  <c r="M29" i="15"/>
  <c r="I30" i="15"/>
  <c r="L31" i="15"/>
  <c r="M31" i="15"/>
  <c r="R147" i="1"/>
  <c r="J37" i="31"/>
  <c r="N27" i="22"/>
  <c r="S29" i="1"/>
  <c r="T263" i="1"/>
  <c r="Q260" i="1"/>
  <c r="S259" i="1"/>
  <c r="S24" i="1"/>
  <c r="V56" i="1"/>
  <c r="S217" i="1"/>
  <c r="K11" i="31"/>
  <c r="Q175" i="1"/>
  <c r="N23" i="22"/>
  <c r="N22" i="22"/>
  <c r="J30" i="1"/>
  <c r="T153" i="1"/>
  <c r="Q92" i="1"/>
  <c r="Q74" i="1"/>
  <c r="T42" i="1"/>
  <c r="T31" i="1"/>
  <c r="V263" i="1"/>
  <c r="Q255" i="1"/>
  <c r="Q59" i="1"/>
  <c r="Q195" i="1"/>
  <c r="E162" i="1"/>
  <c r="Q212" i="1"/>
  <c r="Q47" i="1"/>
  <c r="V153" i="1"/>
  <c r="Q139" i="1"/>
  <c r="Q91" i="1"/>
  <c r="S91" i="1"/>
  <c r="Q90" i="1"/>
  <c r="T86" i="1"/>
  <c r="J62" i="1"/>
  <c r="E60" i="1"/>
  <c r="T204" i="1"/>
  <c r="V53" i="1"/>
  <c r="E56" i="1"/>
  <c r="Q265" i="1"/>
  <c r="Q241" i="1"/>
  <c r="Q227" i="1"/>
  <c r="Q193" i="1"/>
  <c r="J53" i="1"/>
  <c r="Q53" i="1"/>
  <c r="N161" i="1"/>
  <c r="H85" i="1"/>
  <c r="T290" i="1"/>
  <c r="Q248" i="1"/>
  <c r="Q219" i="1"/>
  <c r="Q211" i="1"/>
  <c r="Q208" i="1"/>
  <c r="Q207" i="1"/>
  <c r="V161" i="1"/>
  <c r="J56" i="1"/>
  <c r="M1164" i="40"/>
  <c r="M1551" i="40"/>
  <c r="D421" i="40"/>
  <c r="M421" i="40"/>
  <c r="D491" i="40"/>
  <c r="M491" i="40"/>
  <c r="D982" i="40"/>
  <c r="D380" i="40"/>
  <c r="M380" i="40"/>
  <c r="M1089" i="40"/>
  <c r="M1506" i="40"/>
  <c r="O6" i="40"/>
  <c r="O1557" i="40"/>
  <c r="M1334" i="40"/>
  <c r="M151" i="40"/>
  <c r="M1261" i="40"/>
  <c r="M533" i="40"/>
  <c r="M363" i="40"/>
  <c r="D1687" i="40"/>
  <c r="M1196" i="40"/>
  <c r="M1327" i="40"/>
  <c r="M550" i="40"/>
  <c r="E498" i="40"/>
  <c r="M498" i="40"/>
  <c r="M1310" i="40"/>
  <c r="M499" i="40"/>
  <c r="N215" i="40"/>
  <c r="D384" i="40"/>
  <c r="Q108" i="1"/>
  <c r="Q287" i="1"/>
  <c r="Q134" i="1"/>
  <c r="Q122" i="1"/>
  <c r="Q103" i="1"/>
  <c r="S103" i="1"/>
  <c r="I85" i="1"/>
  <c r="Q64" i="1"/>
  <c r="Q54" i="1"/>
  <c r="Q88" i="1"/>
  <c r="Q155" i="1"/>
  <c r="S59" i="1"/>
  <c r="Q173" i="1"/>
  <c r="S172" i="1"/>
  <c r="T262" i="1"/>
  <c r="Q191" i="1"/>
  <c r="Q190" i="1"/>
  <c r="Q189" i="1"/>
  <c r="S188" i="1"/>
  <c r="Q188" i="1"/>
  <c r="S187" i="1"/>
  <c r="Q187" i="1"/>
  <c r="Q186" i="1"/>
  <c r="S185" i="1"/>
  <c r="Q185" i="1"/>
  <c r="Q184" i="1"/>
  <c r="S183" i="1"/>
  <c r="Q177" i="1"/>
  <c r="S176" i="1"/>
  <c r="Q176" i="1"/>
  <c r="S175" i="1"/>
  <c r="Q174" i="1"/>
  <c r="S173" i="1"/>
  <c r="Q172" i="1"/>
  <c r="S171" i="1"/>
  <c r="Q165" i="1"/>
  <c r="S162" i="1"/>
  <c r="Q163" i="1"/>
  <c r="V152" i="1"/>
  <c r="Q39" i="1"/>
  <c r="E30" i="1"/>
  <c r="T30" i="1"/>
  <c r="T17" i="1"/>
  <c r="Q111" i="1"/>
  <c r="Q261" i="1"/>
  <c r="T38" i="1"/>
  <c r="E65" i="1"/>
  <c r="Q50" i="1"/>
  <c r="G161" i="1"/>
  <c r="Q35" i="1"/>
  <c r="P160" i="1"/>
  <c r="Q75" i="1"/>
  <c r="S75" i="1"/>
  <c r="Q44" i="1"/>
  <c r="V30" i="1"/>
  <c r="P36" i="1"/>
  <c r="S192" i="1"/>
  <c r="Q107" i="1"/>
  <c r="Q32" i="1"/>
  <c r="Q33" i="1"/>
  <c r="Q21" i="1"/>
  <c r="T118" i="1"/>
  <c r="T272" i="1"/>
  <c r="J68" i="1"/>
  <c r="Q68" i="1"/>
  <c r="Q43" i="1"/>
  <c r="E70" i="1"/>
  <c r="R70" i="1"/>
  <c r="E46" i="1"/>
  <c r="R46" i="1"/>
  <c r="K85" i="1"/>
  <c r="J17" i="1"/>
  <c r="E31" i="1"/>
  <c r="Q192" i="1"/>
  <c r="Q178" i="1"/>
  <c r="Q150" i="1"/>
  <c r="Q146" i="1"/>
  <c r="Q144" i="1"/>
  <c r="Q142" i="1"/>
  <c r="E62" i="1"/>
  <c r="R62" i="1"/>
  <c r="Q49" i="1"/>
  <c r="V37" i="1"/>
  <c r="F741" i="24"/>
  <c r="F580" i="24"/>
  <c r="D1154" i="24"/>
  <c r="G1154" i="24"/>
  <c r="O1116" i="40"/>
  <c r="F509" i="24"/>
  <c r="F429" i="24"/>
  <c r="F481" i="24"/>
  <c r="F268" i="24"/>
  <c r="D941" i="24"/>
  <c r="J28" i="31"/>
  <c r="E281" i="1"/>
  <c r="V281" i="1"/>
  <c r="T281" i="1"/>
  <c r="Q269" i="1"/>
  <c r="Q182" i="1"/>
  <c r="Q222" i="1"/>
  <c r="Q72" i="1"/>
  <c r="Q70" i="1"/>
  <c r="Q298" i="1"/>
  <c r="Q275" i="1"/>
  <c r="Q237" i="1"/>
  <c r="Q217" i="1"/>
  <c r="S216" i="1"/>
  <c r="Q213" i="1"/>
  <c r="S212" i="1"/>
  <c r="Q210" i="1"/>
  <c r="Q209" i="1"/>
  <c r="T161" i="1"/>
  <c r="O161" i="1"/>
  <c r="T160" i="1"/>
  <c r="O160" i="1"/>
  <c r="T159" i="1"/>
  <c r="F83" i="1"/>
  <c r="F314" i="1"/>
  <c r="J292" i="1"/>
  <c r="Q295" i="1"/>
  <c r="Q226" i="1"/>
  <c r="Q224" i="1"/>
  <c r="S223" i="1"/>
  <c r="Q223" i="1"/>
  <c r="Q181" i="1"/>
  <c r="Q180" i="1"/>
  <c r="S179" i="1"/>
  <c r="H161" i="1"/>
  <c r="H160" i="1"/>
  <c r="Q159" i="1"/>
  <c r="E153" i="1"/>
  <c r="E154" i="1"/>
  <c r="Q151" i="1"/>
  <c r="Q148" i="1"/>
  <c r="Q135" i="1"/>
  <c r="Q77" i="1"/>
  <c r="Q76" i="1"/>
  <c r="T18" i="1"/>
  <c r="J70" i="1"/>
  <c r="Q71" i="1"/>
  <c r="Q152" i="1"/>
  <c r="Q257" i="1"/>
  <c r="Q247" i="1"/>
  <c r="Q246" i="1"/>
  <c r="Q234" i="1"/>
  <c r="K48" i="15"/>
  <c r="Q231" i="1"/>
  <c r="Q230" i="1"/>
  <c r="L161" i="1"/>
  <c r="L160" i="1"/>
  <c r="O85" i="1"/>
  <c r="Q105" i="1"/>
  <c r="S105" i="1"/>
  <c r="Q104" i="1"/>
  <c r="Q102" i="1"/>
  <c r="S102" i="1"/>
  <c r="Q99" i="1"/>
  <c r="S99" i="1"/>
  <c r="Q80" i="1"/>
  <c r="Q79" i="1"/>
  <c r="Q78" i="1"/>
  <c r="Q58" i="1"/>
  <c r="Q55" i="1"/>
  <c r="D55" i="31"/>
  <c r="D56" i="31"/>
  <c r="E18" i="1"/>
  <c r="Q52" i="1"/>
  <c r="Q232" i="1"/>
  <c r="Q45" i="1"/>
  <c r="O83" i="1"/>
  <c r="T83" i="1"/>
  <c r="Q312" i="1"/>
  <c r="Q297" i="1"/>
  <c r="Q243" i="1"/>
  <c r="Q164" i="1"/>
  <c r="Q67" i="1"/>
  <c r="F36" i="1"/>
  <c r="Q216" i="1"/>
  <c r="S215" i="1"/>
  <c r="Q215" i="1"/>
  <c r="S214" i="1"/>
  <c r="K326" i="1"/>
  <c r="K327" i="1"/>
  <c r="Q259" i="1"/>
  <c r="Q236" i="1"/>
  <c r="Q220" i="1"/>
  <c r="E38" i="1"/>
  <c r="Q280" i="1"/>
  <c r="Q229" i="1"/>
  <c r="Q225" i="1"/>
  <c r="Q95" i="1"/>
  <c r="Q40" i="1"/>
  <c r="L36" i="1"/>
  <c r="H31" i="31"/>
  <c r="S81" i="1"/>
  <c r="Q308" i="1"/>
  <c r="V160" i="1"/>
  <c r="K28" i="31"/>
  <c r="Q279" i="1"/>
  <c r="S117" i="1"/>
  <c r="J296" i="1"/>
  <c r="Q294" i="1"/>
  <c r="Q292" i="1"/>
  <c r="Q293" i="1"/>
  <c r="Q149" i="1"/>
  <c r="Q97" i="1"/>
  <c r="Q96" i="1"/>
  <c r="L83" i="1"/>
  <c r="L85" i="1"/>
  <c r="J42" i="1"/>
  <c r="Q145" i="1"/>
  <c r="T84" i="1"/>
  <c r="Q147" i="1"/>
  <c r="Q157" i="1"/>
  <c r="S264" i="1"/>
  <c r="V86" i="1"/>
  <c r="E68" i="1"/>
  <c r="K36" i="1"/>
  <c r="K314" i="1"/>
  <c r="K344" i="1"/>
  <c r="Q138" i="1"/>
  <c r="Q204" i="1"/>
  <c r="T53" i="1"/>
  <c r="Q89" i="1"/>
  <c r="T291" i="1"/>
  <c r="J274" i="1"/>
  <c r="Q258" i="1"/>
  <c r="Q313" i="1"/>
  <c r="T280" i="1"/>
  <c r="V280" i="1"/>
  <c r="Q221" i="1"/>
  <c r="Q20" i="1"/>
  <c r="V17" i="1"/>
  <c r="Q214" i="1"/>
  <c r="Q197" i="1"/>
  <c r="Q98" i="1"/>
  <c r="J60" i="1"/>
  <c r="I13" i="15"/>
  <c r="L13" i="15"/>
  <c r="L108" i="15"/>
  <c r="M108" i="15"/>
  <c r="L30" i="15"/>
  <c r="M30" i="15"/>
  <c r="E160" i="1"/>
  <c r="S189" i="1"/>
  <c r="S191" i="1"/>
  <c r="S138" i="1"/>
  <c r="Q62" i="1"/>
  <c r="S268" i="1"/>
  <c r="S231" i="1"/>
  <c r="E161" i="1"/>
  <c r="M365" i="40"/>
  <c r="S76" i="1"/>
  <c r="S177" i="1"/>
  <c r="S257" i="1"/>
  <c r="S20" i="1"/>
  <c r="O1105" i="40"/>
  <c r="S104" i="1"/>
  <c r="E41" i="39"/>
  <c r="G159" i="27"/>
  <c r="G90" i="27"/>
  <c r="G44" i="27"/>
  <c r="G27" i="27"/>
  <c r="C766" i="42"/>
  <c r="G156" i="27"/>
  <c r="C49" i="27"/>
  <c r="G49" i="27"/>
  <c r="G50" i="27"/>
  <c r="C746" i="41"/>
  <c r="G160" i="27"/>
  <c r="G14" i="27"/>
  <c r="G158" i="27"/>
  <c r="E31" i="27"/>
  <c r="C38" i="27"/>
  <c r="G38" i="27"/>
  <c r="G184" i="39"/>
  <c r="E89" i="27"/>
  <c r="C89" i="27"/>
  <c r="G89" i="27"/>
  <c r="C183" i="39"/>
  <c r="E183" i="39"/>
  <c r="F155" i="27"/>
  <c r="F94" i="27"/>
  <c r="E94" i="27"/>
  <c r="E93" i="27"/>
  <c r="I95" i="39"/>
  <c r="J95" i="39"/>
  <c r="I63" i="39"/>
  <c r="J63" i="39"/>
  <c r="I57" i="39"/>
  <c r="J57" i="39"/>
  <c r="I48" i="39"/>
  <c r="J48" i="39"/>
  <c r="I107" i="39"/>
  <c r="J107" i="39"/>
  <c r="C187" i="39"/>
  <c r="E187" i="39"/>
  <c r="I89" i="39"/>
  <c r="I85" i="39"/>
  <c r="J85" i="39"/>
  <c r="I102" i="39"/>
  <c r="J102" i="39"/>
  <c r="I62" i="39"/>
  <c r="J62" i="39"/>
  <c r="I46" i="39"/>
  <c r="J46" i="39"/>
  <c r="I74" i="39"/>
  <c r="J74" i="39"/>
  <c r="J103" i="39"/>
  <c r="I87" i="39"/>
  <c r="J87" i="39"/>
  <c r="I90" i="39"/>
  <c r="I72" i="39"/>
  <c r="J72" i="39"/>
  <c r="I93" i="39"/>
  <c r="J93" i="39"/>
  <c r="I75" i="39"/>
  <c r="J75" i="39"/>
  <c r="I54" i="39"/>
  <c r="J54" i="39"/>
  <c r="I76" i="39"/>
  <c r="J76" i="39"/>
  <c r="I78" i="39"/>
  <c r="J78" i="39"/>
  <c r="J90" i="39"/>
  <c r="I69" i="39"/>
  <c r="J69" i="39"/>
  <c r="I71" i="39"/>
  <c r="J71" i="39"/>
  <c r="I55" i="39"/>
  <c r="J55" i="39"/>
  <c r="I88" i="39"/>
  <c r="J88" i="39"/>
  <c r="I53" i="39"/>
  <c r="J53" i="39"/>
  <c r="J89" i="39"/>
  <c r="I105" i="39"/>
  <c r="J105" i="39"/>
  <c r="I50" i="39"/>
  <c r="J50" i="39"/>
  <c r="I110" i="39"/>
  <c r="J110" i="39"/>
  <c r="I99" i="39"/>
  <c r="J99" i="39"/>
  <c r="I109" i="39"/>
  <c r="J109" i="39"/>
  <c r="I65" i="39"/>
  <c r="J65" i="39"/>
  <c r="I94" i="39"/>
  <c r="J94" i="39"/>
  <c r="I111" i="39"/>
  <c r="J111" i="39"/>
  <c r="I82" i="39"/>
  <c r="J82" i="39"/>
  <c r="F51" i="27"/>
  <c r="C97" i="27"/>
  <c r="G97" i="27"/>
  <c r="E81" i="27"/>
  <c r="C81" i="27"/>
  <c r="G81" i="27"/>
  <c r="D31" i="27"/>
  <c r="C21" i="27"/>
  <c r="G21" i="27"/>
  <c r="D13" i="27"/>
  <c r="C13" i="27"/>
  <c r="G13" i="27"/>
  <c r="C58" i="27"/>
  <c r="G58" i="27"/>
  <c r="S106" i="1"/>
  <c r="Q291" i="1"/>
  <c r="S151" i="1"/>
  <c r="Q286" i="1"/>
  <c r="S285" i="1"/>
  <c r="Q284" i="1"/>
  <c r="S283" i="1"/>
  <c r="R68" i="1"/>
  <c r="S96" i="1"/>
  <c r="E292" i="1"/>
  <c r="E37" i="1"/>
  <c r="E205" i="1"/>
  <c r="V159" i="1"/>
  <c r="R30" i="1"/>
  <c r="T119" i="1"/>
  <c r="Q110" i="1"/>
  <c r="Q57" i="1"/>
  <c r="Q270" i="1"/>
  <c r="S269" i="1"/>
  <c r="R312" i="1"/>
  <c r="S311" i="1"/>
  <c r="Q311" i="1"/>
  <c r="R311" i="1"/>
  <c r="R310" i="1"/>
  <c r="R309" i="1"/>
  <c r="S308" i="1"/>
  <c r="R308" i="1"/>
  <c r="S307" i="1"/>
  <c r="R307" i="1"/>
  <c r="S306" i="1"/>
  <c r="R306" i="1"/>
  <c r="S305" i="1"/>
  <c r="R305" i="1"/>
  <c r="S304" i="1"/>
  <c r="R304" i="1"/>
  <c r="S303" i="1"/>
  <c r="R303" i="1"/>
  <c r="S302" i="1"/>
  <c r="R302" i="1"/>
  <c r="S301" i="1"/>
  <c r="R301" i="1"/>
  <c r="S300" i="1"/>
  <c r="R300" i="1"/>
  <c r="S299" i="1"/>
  <c r="R288" i="1"/>
  <c r="R287" i="1"/>
  <c r="Q276" i="1"/>
  <c r="V273" i="1"/>
  <c r="L326" i="1"/>
  <c r="V268" i="1"/>
  <c r="Q268" i="1"/>
  <c r="R251" i="1"/>
  <c r="R250" i="1"/>
  <c r="S249" i="1"/>
  <c r="R249" i="1"/>
  <c r="S248" i="1"/>
  <c r="R248" i="1"/>
  <c r="S190" i="1"/>
  <c r="R137" i="1"/>
  <c r="R136" i="1"/>
  <c r="S135" i="1"/>
  <c r="R135" i="1"/>
  <c r="S134" i="1"/>
  <c r="R134" i="1"/>
  <c r="S133" i="1"/>
  <c r="R133" i="1"/>
  <c r="R132" i="1"/>
  <c r="S131" i="1"/>
  <c r="R131" i="1"/>
  <c r="R130" i="1"/>
  <c r="R129" i="1"/>
  <c r="S128" i="1"/>
  <c r="R128" i="1"/>
  <c r="S127" i="1"/>
  <c r="R126" i="1"/>
  <c r="R125" i="1"/>
  <c r="S124" i="1"/>
  <c r="R124" i="1"/>
  <c r="S123" i="1"/>
  <c r="R123" i="1"/>
  <c r="R122" i="1"/>
  <c r="R121" i="1"/>
  <c r="R114" i="1"/>
  <c r="R113" i="1"/>
  <c r="S112" i="1"/>
  <c r="R112" i="1"/>
  <c r="R106" i="1"/>
  <c r="R275" i="1"/>
  <c r="R281" i="1"/>
  <c r="E291" i="1"/>
  <c r="S278" i="1"/>
  <c r="Q116" i="1"/>
  <c r="R56" i="1"/>
  <c r="Q238" i="1"/>
  <c r="S156" i="1"/>
  <c r="J297" i="1"/>
  <c r="R254" i="1"/>
  <c r="S226" i="1"/>
  <c r="S210" i="1"/>
  <c r="R127" i="1"/>
  <c r="S126" i="1"/>
  <c r="S90" i="1"/>
  <c r="R53" i="1"/>
  <c r="S53" i="1"/>
  <c r="S158" i="1"/>
  <c r="L314" i="1"/>
  <c r="L327" i="1"/>
  <c r="T85" i="1"/>
  <c r="H326" i="1"/>
  <c r="Q285" i="1"/>
  <c r="S284" i="1"/>
  <c r="Q299" i="1"/>
  <c r="R162" i="1"/>
  <c r="Q278" i="1"/>
  <c r="R278" i="1"/>
  <c r="S277" i="1"/>
  <c r="R313" i="1"/>
  <c r="S292" i="1"/>
  <c r="V291" i="1"/>
  <c r="R290" i="1"/>
  <c r="R280" i="1"/>
  <c r="S279" i="1"/>
  <c r="R279" i="1"/>
  <c r="V272" i="1"/>
  <c r="R272" i="1"/>
  <c r="S271" i="1"/>
  <c r="K65" i="15"/>
  <c r="R237" i="1"/>
  <c r="R164" i="1"/>
  <c r="S141" i="1"/>
  <c r="R100" i="1"/>
  <c r="S100" i="1"/>
  <c r="Q245" i="1"/>
  <c r="Q169" i="1"/>
  <c r="Q168" i="1"/>
  <c r="S167" i="1"/>
  <c r="T152" i="1"/>
  <c r="R151" i="1"/>
  <c r="S150" i="1"/>
  <c r="R150" i="1"/>
  <c r="R149" i="1"/>
  <c r="Q109" i="1"/>
  <c r="E42" i="1"/>
  <c r="R42" i="1"/>
  <c r="M85" i="1"/>
  <c r="S228" i="1"/>
  <c r="M36" i="1"/>
  <c r="H36" i="1"/>
  <c r="H314" i="1"/>
  <c r="S52" i="1"/>
  <c r="R109" i="1"/>
  <c r="S222" i="1"/>
  <c r="S174" i="1"/>
  <c r="S298" i="1"/>
  <c r="S186" i="1"/>
  <c r="H335" i="1"/>
  <c r="H344" i="1"/>
  <c r="H327" i="1"/>
  <c r="H331" i="1"/>
  <c r="S32" i="1"/>
  <c r="S154" i="1"/>
  <c r="S288" i="1"/>
  <c r="Q289" i="1"/>
  <c r="Q240" i="1"/>
  <c r="J120" i="1"/>
  <c r="J119" i="1"/>
  <c r="Q126" i="1"/>
  <c r="Q117" i="1"/>
  <c r="S116" i="1"/>
  <c r="S113" i="1"/>
  <c r="Q115" i="1"/>
  <c r="Q94" i="1"/>
  <c r="S94" i="1"/>
  <c r="Q87" i="1"/>
  <c r="Q86" i="1"/>
  <c r="J84" i="1"/>
  <c r="J86" i="1"/>
  <c r="G83" i="1"/>
  <c r="G85" i="1"/>
  <c r="Q63" i="1"/>
  <c r="Q41" i="1"/>
  <c r="J38" i="1"/>
  <c r="R38" i="1"/>
  <c r="Q93" i="1"/>
  <c r="Q84" i="1"/>
  <c r="Q85" i="1"/>
  <c r="L60" i="22"/>
  <c r="H328" i="1"/>
  <c r="I36" i="1"/>
  <c r="I314" i="1"/>
  <c r="T269" i="1"/>
  <c r="E274" i="1"/>
  <c r="R274" i="1"/>
  <c r="E273" i="1"/>
  <c r="Q46" i="1"/>
  <c r="Q56" i="1"/>
  <c r="S246" i="1"/>
  <c r="S287" i="1"/>
  <c r="Q288" i="1"/>
  <c r="J281" i="1"/>
  <c r="E282" i="1"/>
  <c r="R282" i="1"/>
  <c r="Q283" i="1"/>
  <c r="M326" i="1"/>
  <c r="S270" i="1"/>
  <c r="J263" i="1"/>
  <c r="R263" i="1"/>
  <c r="Q266" i="1"/>
  <c r="Q256" i="1"/>
  <c r="Q253" i="1"/>
  <c r="S233" i="1"/>
  <c r="Q228" i="1"/>
  <c r="S224" i="1"/>
  <c r="Q203" i="1"/>
  <c r="Q200" i="1"/>
  <c r="Q198" i="1"/>
  <c r="S197" i="1"/>
  <c r="Q167" i="1"/>
  <c r="J162" i="1"/>
  <c r="Q156" i="1"/>
  <c r="J153" i="1"/>
  <c r="R153" i="1"/>
  <c r="J154" i="1"/>
  <c r="R154" i="1"/>
  <c r="Q141" i="1"/>
  <c r="Q128" i="1"/>
  <c r="S101" i="1"/>
  <c r="Q101" i="1"/>
  <c r="M314" i="1"/>
  <c r="E36" i="1"/>
  <c r="Q22" i="1"/>
  <c r="E17" i="1"/>
  <c r="S207" i="1"/>
  <c r="K328" i="1"/>
  <c r="Q143" i="1"/>
  <c r="S142" i="1"/>
  <c r="S309" i="1"/>
  <c r="E297" i="1"/>
  <c r="R297" i="1"/>
  <c r="Q235" i="1"/>
  <c r="S213" i="1"/>
  <c r="S201" i="1"/>
  <c r="Q202" i="1"/>
  <c r="Q201" i="1"/>
  <c r="S200" i="1"/>
  <c r="Q199" i="1"/>
  <c r="S195" i="1"/>
  <c r="Q196" i="1"/>
  <c r="Q194" i="1"/>
  <c r="S193" i="1"/>
  <c r="S182" i="1"/>
  <c r="Q183" i="1"/>
  <c r="Q171" i="1"/>
  <c r="S169" i="1"/>
  <c r="Q170" i="1"/>
  <c r="S168" i="1"/>
  <c r="Q158" i="1"/>
  <c r="S122" i="1"/>
  <c r="E86" i="1"/>
  <c r="R86" i="1"/>
  <c r="E84" i="1"/>
  <c r="S77" i="1"/>
  <c r="Q51" i="1"/>
  <c r="K37" i="31"/>
  <c r="S35" i="1"/>
  <c r="J31" i="1"/>
  <c r="R31" i="1"/>
  <c r="E55" i="31"/>
  <c r="E56" i="31"/>
  <c r="Q34" i="1"/>
  <c r="Q30" i="1"/>
  <c r="S33" i="1"/>
  <c r="J18" i="1"/>
  <c r="R18" i="1"/>
  <c r="Q28" i="1"/>
  <c r="S137" i="1"/>
  <c r="G326" i="1"/>
  <c r="Q48" i="1"/>
  <c r="G36" i="1"/>
  <c r="G314" i="1"/>
  <c r="J291" i="1"/>
  <c r="S293" i="1"/>
  <c r="Q83" i="1"/>
  <c r="S312" i="1"/>
  <c r="O1561" i="40"/>
  <c r="Q244" i="1"/>
  <c r="S218" i="1"/>
  <c r="S184" i="1"/>
  <c r="Q82" i="1"/>
  <c r="Q26" i="1"/>
  <c r="S23" i="1"/>
  <c r="S19" i="1"/>
  <c r="Q19" i="1"/>
  <c r="J273" i="1"/>
  <c r="Q290" i="1"/>
  <c r="E206" i="1"/>
  <c r="Q179" i="1"/>
  <c r="S178" i="1"/>
  <c r="Q69" i="1"/>
  <c r="Q25" i="1"/>
  <c r="Q277" i="1"/>
  <c r="Q233" i="1"/>
  <c r="Q140" i="1"/>
  <c r="N36" i="1"/>
  <c r="N314" i="1"/>
  <c r="F326" i="1"/>
  <c r="F331" i="1"/>
  <c r="C34" i="27"/>
  <c r="G34" i="27"/>
  <c r="D57" i="27"/>
  <c r="C57" i="27"/>
  <c r="G57" i="27"/>
  <c r="E43" i="27"/>
  <c r="C31" i="27"/>
  <c r="G31" i="27"/>
  <c r="C77" i="27"/>
  <c r="G77" i="27"/>
  <c r="D43" i="27"/>
  <c r="F31" i="27"/>
  <c r="F12" i="27"/>
  <c r="F92" i="27"/>
  <c r="C32" i="27"/>
  <c r="G32" i="27"/>
  <c r="C747" i="41"/>
  <c r="F746" i="41"/>
  <c r="C41" i="27"/>
  <c r="G41" i="27"/>
  <c r="D110" i="27"/>
  <c r="C741" i="41"/>
  <c r="F741" i="41"/>
  <c r="C43" i="27"/>
  <c r="G43" i="27"/>
  <c r="C162" i="27"/>
  <c r="G162" i="27"/>
  <c r="C748" i="36"/>
  <c r="C749" i="36"/>
  <c r="D52" i="27"/>
  <c r="I100" i="39"/>
  <c r="J100" i="39"/>
  <c r="I59" i="39"/>
  <c r="J59" i="39"/>
  <c r="I47" i="39"/>
  <c r="J47" i="39"/>
  <c r="C25" i="39"/>
  <c r="E25" i="39"/>
  <c r="I68" i="39"/>
  <c r="I70" i="39"/>
  <c r="J70" i="39"/>
  <c r="I58" i="39"/>
  <c r="J58" i="39"/>
  <c r="I73" i="39"/>
  <c r="J73" i="39"/>
  <c r="I56" i="39"/>
  <c r="J56" i="39"/>
  <c r="I51" i="39"/>
  <c r="J51" i="39"/>
  <c r="I60" i="39"/>
  <c r="J60" i="39"/>
  <c r="I77" i="39"/>
  <c r="J77" i="39"/>
  <c r="J68" i="39"/>
  <c r="I67" i="39"/>
  <c r="J67" i="39"/>
  <c r="I104" i="39"/>
  <c r="J104" i="39"/>
  <c r="C31" i="39"/>
  <c r="E31" i="39"/>
  <c r="C45" i="39"/>
  <c r="I86" i="39"/>
  <c r="J86" i="39"/>
  <c r="C189" i="39"/>
  <c r="E189" i="39"/>
  <c r="I101" i="39"/>
  <c r="J101" i="39"/>
  <c r="I49" i="39"/>
  <c r="J49" i="39"/>
  <c r="I92" i="39"/>
  <c r="J92" i="39"/>
  <c r="C256" i="39"/>
  <c r="E256" i="39"/>
  <c r="I91" i="39"/>
  <c r="J91" i="39"/>
  <c r="I108" i="39"/>
  <c r="J108" i="39"/>
  <c r="I81" i="39"/>
  <c r="J81" i="39"/>
  <c r="I79" i="39"/>
  <c r="J79" i="39"/>
  <c r="I66" i="39"/>
  <c r="J66" i="39"/>
  <c r="I61" i="39"/>
  <c r="J61" i="39"/>
  <c r="I52" i="39"/>
  <c r="J52" i="39"/>
  <c r="I97" i="39"/>
  <c r="J97" i="39"/>
  <c r="I84" i="39"/>
  <c r="J84" i="39"/>
  <c r="I106" i="39"/>
  <c r="J106" i="39"/>
  <c r="I64" i="39"/>
  <c r="J64" i="39"/>
  <c r="I98" i="39"/>
  <c r="J98" i="39"/>
  <c r="I96" i="39"/>
  <c r="J96" i="39"/>
  <c r="I80" i="39"/>
  <c r="J80" i="39"/>
  <c r="J65" i="1"/>
  <c r="R65" i="1"/>
  <c r="C155" i="27"/>
  <c r="G155" i="27"/>
  <c r="Q130" i="1"/>
  <c r="E120" i="1"/>
  <c r="R120" i="1"/>
  <c r="V84" i="1"/>
  <c r="J83" i="1"/>
  <c r="V92" i="1"/>
  <c r="N83" i="1"/>
  <c r="N85" i="1"/>
  <c r="V85" i="1"/>
  <c r="G45" i="39"/>
  <c r="E45" i="39"/>
  <c r="E12" i="27"/>
  <c r="C76" i="27"/>
  <c r="G76" i="27"/>
  <c r="E51" i="27"/>
  <c r="E92" i="27"/>
  <c r="D12" i="27"/>
  <c r="C12" i="27"/>
  <c r="G12" i="27"/>
  <c r="Q153" i="1"/>
  <c r="S152" i="1"/>
  <c r="L344" i="1"/>
  <c r="R291" i="1"/>
  <c r="S290" i="1"/>
  <c r="L331" i="1"/>
  <c r="L328" i="1"/>
  <c r="S291" i="1"/>
  <c r="R292" i="1"/>
  <c r="Q274" i="1"/>
  <c r="C55" i="31"/>
  <c r="C56" i="31"/>
  <c r="E85" i="1"/>
  <c r="R84" i="1"/>
  <c r="S227" i="1"/>
  <c r="S56" i="1"/>
  <c r="L335" i="1"/>
  <c r="S310" i="1"/>
  <c r="Q281" i="1"/>
  <c r="R273" i="1"/>
  <c r="Q154" i="1"/>
  <c r="S153" i="1"/>
  <c r="Q42" i="1"/>
  <c r="J160" i="1"/>
  <c r="R160" i="1"/>
  <c r="S161" i="1"/>
  <c r="Q162" i="1"/>
  <c r="J161" i="1"/>
  <c r="R161" i="1"/>
  <c r="M331" i="1"/>
  <c r="M328" i="1"/>
  <c r="Q38" i="1"/>
  <c r="J85" i="1"/>
  <c r="S276" i="1"/>
  <c r="Q17" i="1"/>
  <c r="Q18" i="1"/>
  <c r="S26" i="1"/>
  <c r="S28" i="1"/>
  <c r="S22" i="1"/>
  <c r="Q282" i="1"/>
  <c r="Q31" i="1"/>
  <c r="S31" i="1"/>
  <c r="S265" i="1"/>
  <c r="Q273" i="1"/>
  <c r="S281" i="1"/>
  <c r="S30" i="1"/>
  <c r="S272" i="1"/>
  <c r="M344" i="1"/>
  <c r="M335" i="1"/>
  <c r="M327" i="1"/>
  <c r="Q264" i="1"/>
  <c r="S263" i="1"/>
  <c r="Q263" i="1"/>
  <c r="S262" i="1"/>
  <c r="S274" i="1"/>
  <c r="S275" i="1"/>
  <c r="E83" i="1"/>
  <c r="R83" i="1"/>
  <c r="S83" i="1"/>
  <c r="S86" i="1"/>
  <c r="S157" i="1"/>
  <c r="S170" i="1"/>
  <c r="R17" i="1"/>
  <c r="S17" i="1"/>
  <c r="S155" i="1"/>
  <c r="S166" i="1"/>
  <c r="S273" i="1"/>
  <c r="S93" i="1"/>
  <c r="S280" i="1"/>
  <c r="C52" i="27"/>
  <c r="G52" i="27"/>
  <c r="D51" i="27"/>
  <c r="G31" i="39"/>
  <c r="Q119" i="1"/>
  <c r="S129" i="1"/>
  <c r="V83" i="1"/>
  <c r="C51" i="27"/>
  <c r="G51" i="27"/>
  <c r="R85" i="1"/>
  <c r="S18" i="1"/>
  <c r="Q160" i="1"/>
  <c r="Q161" i="1"/>
  <c r="C92" i="27"/>
  <c r="D92" i="27"/>
  <c r="G92" i="27"/>
  <c r="S159" i="1"/>
  <c r="S160" i="1"/>
  <c r="K251" i="22"/>
  <c r="R250" i="22"/>
  <c r="K187" i="22"/>
  <c r="L187" i="22"/>
  <c r="M187" i="22"/>
  <c r="K163" i="22"/>
  <c r="M163" i="22"/>
  <c r="L97" i="22"/>
  <c r="M97" i="22"/>
  <c r="R114" i="22"/>
  <c r="M243" i="22"/>
  <c r="R242" i="22"/>
  <c r="K235" i="22"/>
  <c r="G233" i="22"/>
  <c r="K233" i="22"/>
  <c r="R234" i="22"/>
  <c r="R189" i="22"/>
  <c r="K191" i="22"/>
  <c r="K176" i="22"/>
  <c r="R175" i="22"/>
  <c r="K156" i="22"/>
  <c r="R155" i="22"/>
  <c r="M148" i="22"/>
  <c r="R147" i="22"/>
  <c r="K148" i="22"/>
  <c r="L148" i="22"/>
  <c r="R63" i="22"/>
  <c r="M64" i="22"/>
  <c r="K60" i="22"/>
  <c r="H37" i="22"/>
  <c r="H36" i="22"/>
  <c r="H13" i="22"/>
  <c r="K222" i="22"/>
  <c r="G111" i="22"/>
  <c r="R110" i="22"/>
  <c r="M140" i="22"/>
  <c r="G238" i="22"/>
  <c r="K97" i="22"/>
  <c r="R77" i="22"/>
  <c r="K263" i="22"/>
  <c r="R262" i="22"/>
  <c r="M249" i="22"/>
  <c r="K249" i="22"/>
  <c r="M225" i="22"/>
  <c r="R223" i="22"/>
  <c r="K200" i="22"/>
  <c r="M200" i="22"/>
  <c r="K93" i="22"/>
  <c r="R92" i="22"/>
  <c r="L93" i="22"/>
  <c r="K69" i="22"/>
  <c r="M69" i="22"/>
  <c r="L69" i="22"/>
  <c r="R203" i="22"/>
  <c r="K204" i="22"/>
  <c r="L204" i="22"/>
  <c r="M95" i="22"/>
  <c r="K95" i="22"/>
  <c r="R94" i="22"/>
  <c r="K115" i="22"/>
  <c r="G77" i="22"/>
  <c r="K265" i="22"/>
  <c r="M265" i="22"/>
  <c r="G207" i="22"/>
  <c r="K209" i="22"/>
  <c r="L202" i="22"/>
  <c r="R201" i="22"/>
  <c r="M202" i="22"/>
  <c r="K188" i="22"/>
  <c r="L167" i="22"/>
  <c r="K167" i="22"/>
  <c r="K150" i="22"/>
  <c r="M150" i="22"/>
  <c r="R149" i="22"/>
  <c r="M143" i="22"/>
  <c r="K143" i="22"/>
  <c r="R126" i="22"/>
  <c r="L127" i="22"/>
  <c r="K127" i="22"/>
  <c r="R69" i="22"/>
  <c r="M75" i="22"/>
  <c r="M66" i="22"/>
  <c r="K66" i="22"/>
  <c r="R29" i="22"/>
  <c r="G29" i="22"/>
  <c r="R22" i="22"/>
  <c r="K23" i="22"/>
  <c r="L23" i="22"/>
  <c r="G214" i="22"/>
  <c r="H213" i="22"/>
  <c r="M126" i="22"/>
  <c r="K131" i="22"/>
  <c r="K250" i="22"/>
  <c r="R187" i="22"/>
  <c r="R165" i="22"/>
  <c r="K118" i="22"/>
  <c r="M94" i="22"/>
  <c r="G13" i="22"/>
  <c r="G25" i="39"/>
  <c r="G15" i="39"/>
  <c r="G33" i="39"/>
  <c r="G187" i="39"/>
  <c r="G969" i="24"/>
  <c r="F969" i="24"/>
  <c r="G116" i="24"/>
  <c r="F116" i="24"/>
  <c r="C1154" i="24"/>
  <c r="F14" i="24"/>
  <c r="F1075" i="24"/>
  <c r="G1075" i="24"/>
  <c r="F497" i="24"/>
  <c r="G497" i="24"/>
  <c r="G80" i="24"/>
  <c r="F80" i="24"/>
  <c r="G49" i="24"/>
  <c r="G1113" i="24"/>
  <c r="G492" i="24"/>
  <c r="G67" i="24"/>
  <c r="C473" i="24"/>
  <c r="F1186" i="24"/>
  <c r="F762" i="24"/>
  <c r="F112" i="24"/>
  <c r="F155" i="24"/>
  <c r="F740" i="24"/>
  <c r="F227" i="24"/>
  <c r="F383" i="24"/>
  <c r="G1058" i="24"/>
  <c r="F1058" i="24"/>
  <c r="G402" i="24"/>
  <c r="F402" i="24"/>
  <c r="G1357" i="24"/>
  <c r="G1164" i="24"/>
  <c r="G1085" i="24"/>
  <c r="G991" i="24"/>
  <c r="G44" i="24"/>
  <c r="G267" i="24"/>
  <c r="F267" i="24"/>
  <c r="G97" i="24"/>
  <c r="F97" i="24"/>
  <c r="F1322" i="24"/>
  <c r="G1322" i="24"/>
  <c r="F566" i="24"/>
  <c r="G566" i="24"/>
  <c r="F144" i="24"/>
  <c r="C682" i="24"/>
  <c r="G682" i="24"/>
  <c r="F350" i="24"/>
  <c r="F696" i="24"/>
  <c r="F66" i="24"/>
  <c r="F26" i="24"/>
  <c r="F748" i="24"/>
  <c r="C289" i="24"/>
  <c r="F503" i="24"/>
  <c r="F10" i="24"/>
  <c r="F758" i="24"/>
  <c r="F44" i="24"/>
  <c r="C982" i="24"/>
  <c r="G982" i="24"/>
  <c r="F360" i="24"/>
  <c r="C331" i="24"/>
  <c r="F330" i="24"/>
  <c r="F338" i="24"/>
  <c r="F33" i="24"/>
  <c r="F341" i="24"/>
  <c r="C418" i="24"/>
  <c r="F978" i="24"/>
  <c r="C219" i="24"/>
  <c r="G219" i="24"/>
  <c r="C523" i="24"/>
  <c r="G523" i="24"/>
  <c r="C601" i="24"/>
  <c r="G601" i="24"/>
  <c r="F674" i="24"/>
  <c r="F450" i="24"/>
  <c r="F104" i="24"/>
  <c r="F94" i="24"/>
  <c r="C95" i="24"/>
  <c r="F95" i="24"/>
  <c r="G95" i="24"/>
  <c r="G1001" i="24"/>
  <c r="F986" i="24"/>
  <c r="G986" i="24"/>
  <c r="F737" i="24"/>
  <c r="G175" i="24"/>
  <c r="F175" i="24"/>
  <c r="G45" i="24"/>
  <c r="F45" i="24"/>
  <c r="G1276" i="24"/>
  <c r="G752" i="24"/>
  <c r="F1355" i="24"/>
  <c r="F1299" i="24"/>
  <c r="G1087" i="24"/>
  <c r="G1083" i="24"/>
  <c r="G39" i="24"/>
  <c r="F393" i="24"/>
  <c r="G393" i="24"/>
  <c r="G1070" i="24"/>
  <c r="F84" i="24"/>
  <c r="F1353" i="24"/>
  <c r="O1554" i="40"/>
  <c r="C846" i="24"/>
  <c r="G846" i="24"/>
  <c r="F750" i="24"/>
  <c r="O1528" i="40"/>
  <c r="P1528" i="40"/>
  <c r="F682" i="24"/>
  <c r="F353" i="24"/>
  <c r="O1511" i="40"/>
  <c r="F339" i="24"/>
  <c r="F1195" i="24"/>
  <c r="O1547" i="40"/>
  <c r="F1079" i="24"/>
  <c r="G1055" i="24"/>
  <c r="F794" i="24"/>
  <c r="O1065" i="40"/>
  <c r="F1365" i="24"/>
  <c r="F760" i="24"/>
  <c r="F385" i="24"/>
  <c r="F373" i="24"/>
  <c r="F114" i="24"/>
  <c r="C117" i="24"/>
  <c r="F117" i="24"/>
  <c r="F1072" i="24"/>
  <c r="F1010" i="24"/>
  <c r="O1107" i="40"/>
  <c r="O1103" i="40"/>
  <c r="F774" i="24"/>
  <c r="O1526" i="40"/>
  <c r="O1523" i="40"/>
  <c r="F562" i="24"/>
  <c r="O1516" i="40"/>
  <c r="P1516" i="40"/>
  <c r="F401" i="24"/>
  <c r="F299" i="24"/>
  <c r="C300" i="24"/>
  <c r="F1095" i="24"/>
  <c r="F849" i="24"/>
  <c r="F890" i="24"/>
  <c r="C1183" i="24"/>
  <c r="C753" i="24"/>
  <c r="G753" i="24"/>
  <c r="F784" i="24"/>
  <c r="F980" i="24"/>
  <c r="F1097" i="24"/>
  <c r="F1160" i="24"/>
  <c r="F1358" i="24"/>
  <c r="F970" i="24"/>
  <c r="F337" i="24"/>
  <c r="M1340" i="40"/>
  <c r="M1479" i="40"/>
  <c r="M1314" i="40"/>
  <c r="P1521" i="40"/>
  <c r="M1308" i="40"/>
  <c r="M1180" i="40"/>
  <c r="M1128" i="40"/>
  <c r="M350" i="40"/>
  <c r="M323" i="40"/>
  <c r="M915" i="40"/>
  <c r="M1306" i="40"/>
  <c r="M1172" i="40"/>
  <c r="P1553" i="40"/>
  <c r="M1288" i="40"/>
  <c r="M1336" i="40"/>
  <c r="M547" i="40"/>
  <c r="M1437" i="40"/>
  <c r="M1292" i="40"/>
  <c r="P1505" i="40"/>
  <c r="D1654" i="40"/>
  <c r="M385" i="40"/>
  <c r="D1656" i="40"/>
  <c r="D411" i="40"/>
  <c r="D397" i="40"/>
  <c r="D361" i="40"/>
  <c r="M361" i="40"/>
  <c r="M918" i="40"/>
  <c r="M1280" i="40"/>
  <c r="D1591" i="40"/>
  <c r="K214" i="22"/>
  <c r="G213" i="22"/>
  <c r="K238" i="22"/>
  <c r="G237" i="22"/>
  <c r="M238" i="22"/>
  <c r="R237" i="22"/>
  <c r="L238" i="22"/>
  <c r="K207" i="22"/>
  <c r="M207" i="22"/>
  <c r="R206" i="22"/>
  <c r="L207" i="22"/>
  <c r="G206" i="22"/>
  <c r="G76" i="22"/>
  <c r="K76" i="22"/>
  <c r="K77" i="22"/>
  <c r="R76" i="22"/>
  <c r="L13" i="22"/>
  <c r="K13" i="22"/>
  <c r="G12" i="22"/>
  <c r="M13" i="22"/>
  <c r="H12" i="22"/>
  <c r="R12" i="22"/>
  <c r="H329" i="22"/>
  <c r="R232" i="22"/>
  <c r="G28" i="22"/>
  <c r="L29" i="22"/>
  <c r="R28" i="22"/>
  <c r="K29" i="22"/>
  <c r="M29" i="22"/>
  <c r="R212" i="22"/>
  <c r="H212" i="22"/>
  <c r="G110" i="22"/>
  <c r="K111" i="22"/>
  <c r="G331" i="24"/>
  <c r="G289" i="24"/>
  <c r="F289" i="24"/>
  <c r="F523" i="24"/>
  <c r="P1065" i="40"/>
  <c r="F1055" i="24"/>
  <c r="M397" i="40"/>
  <c r="L12" i="22"/>
  <c r="M12" i="22"/>
  <c r="K12" i="22"/>
  <c r="K237" i="22"/>
  <c r="M237" i="22"/>
  <c r="L237" i="22"/>
  <c r="R235" i="22"/>
  <c r="L110" i="22"/>
  <c r="K110" i="22"/>
  <c r="M110" i="22"/>
  <c r="R109" i="22"/>
  <c r="K28" i="22"/>
  <c r="L28" i="22"/>
  <c r="R27" i="22"/>
  <c r="M28" i="22"/>
  <c r="R11" i="22"/>
  <c r="M213" i="22"/>
  <c r="K213" i="22"/>
  <c r="G212" i="22"/>
  <c r="L213" i="22"/>
  <c r="R211" i="22"/>
  <c r="M206" i="22"/>
  <c r="L206" i="22"/>
  <c r="K206" i="22"/>
  <c r="R205" i="22"/>
  <c r="K212" i="22"/>
  <c r="M212" i="22"/>
  <c r="G58" i="22"/>
  <c r="S84" i="1"/>
  <c r="F327" i="1"/>
  <c r="F335" i="1"/>
  <c r="F344" i="1"/>
  <c r="F328" i="1"/>
  <c r="K58" i="22"/>
  <c r="G57" i="22"/>
  <c r="K57" i="22"/>
  <c r="R51" i="22"/>
  <c r="W964" i="40"/>
  <c r="W940" i="40"/>
  <c r="AA940" i="40"/>
  <c r="AB940" i="40"/>
  <c r="W932" i="40"/>
  <c r="AB932" i="40"/>
  <c r="W968" i="40"/>
  <c r="AB968" i="40"/>
  <c r="W956" i="40"/>
  <c r="W960" i="40"/>
  <c r="W980" i="40"/>
  <c r="M565" i="40"/>
  <c r="M448" i="40"/>
  <c r="M1203" i="40"/>
  <c r="M214" i="40"/>
  <c r="M512" i="40"/>
  <c r="M962" i="40"/>
  <c r="P1057" i="40"/>
  <c r="M1463" i="40"/>
  <c r="D1683" i="40"/>
  <c r="D1679" i="40"/>
  <c r="M1459" i="40"/>
  <c r="M1451" i="40"/>
  <c r="M507" i="40"/>
  <c r="D386" i="40"/>
  <c r="M386" i="40"/>
  <c r="M942" i="40"/>
  <c r="D1486" i="40"/>
  <c r="D1670" i="40"/>
  <c r="M972" i="40"/>
  <c r="D73" i="40"/>
  <c r="D1676" i="40"/>
  <c r="D1638" i="40"/>
  <c r="M1139" i="40"/>
  <c r="F428" i="40"/>
  <c r="M1124" i="40"/>
  <c r="O1124" i="40"/>
  <c r="D1580" i="40"/>
  <c r="M509" i="40"/>
  <c r="D400" i="40"/>
  <c r="M400" i="40"/>
  <c r="D1610" i="40"/>
  <c r="X951" i="40"/>
  <c r="W951" i="40"/>
  <c r="AB951" i="40"/>
  <c r="D951" i="40"/>
  <c r="M965" i="40"/>
  <c r="M949" i="40"/>
  <c r="M945" i="40"/>
  <c r="M936" i="40"/>
  <c r="D966" i="40"/>
  <c r="X966" i="40"/>
  <c r="W966" i="40"/>
  <c r="AB966" i="40"/>
  <c r="P1499" i="40"/>
  <c r="P1501" i="40"/>
  <c r="O1565" i="40"/>
  <c r="D769" i="40"/>
  <c r="E428" i="40"/>
  <c r="M428" i="40"/>
  <c r="D1685" i="40"/>
  <c r="M1457" i="40"/>
  <c r="M563" i="40"/>
  <c r="D1053" i="40"/>
  <c r="M1053" i="40"/>
  <c r="M920" i="40"/>
  <c r="D1648" i="40"/>
  <c r="D1669" i="40"/>
  <c r="D406" i="40"/>
  <c r="D403" i="40"/>
  <c r="M403" i="40"/>
  <c r="D398" i="40"/>
  <c r="M398" i="40"/>
  <c r="D388" i="40"/>
  <c r="D1598" i="40"/>
  <c r="M388" i="40"/>
  <c r="M974" i="40"/>
  <c r="M978" i="40"/>
  <c r="M973" i="40"/>
  <c r="M957" i="40"/>
  <c r="M953" i="40"/>
  <c r="M939" i="40"/>
  <c r="M935" i="40"/>
  <c r="M931" i="40"/>
  <c r="X915" i="40"/>
  <c r="E912" i="40"/>
  <c r="M912" i="40"/>
  <c r="X974" i="40"/>
  <c r="P1507" i="40"/>
  <c r="P1490" i="40"/>
  <c r="D1657" i="40"/>
  <c r="D404" i="40"/>
  <c r="M404" i="40"/>
  <c r="D394" i="40"/>
  <c r="M394" i="40"/>
  <c r="Z981" i="40"/>
  <c r="W981" i="40"/>
  <c r="G912" i="40"/>
  <c r="M146" i="40"/>
  <c r="D919" i="40"/>
  <c r="D960" i="40"/>
  <c r="AB960" i="40"/>
  <c r="D208" i="40"/>
  <c r="D1631" i="40"/>
  <c r="M208" i="40"/>
  <c r="D392" i="40"/>
  <c r="M392" i="40"/>
  <c r="D389" i="40"/>
  <c r="D1599" i="40"/>
  <c r="M389" i="40"/>
  <c r="D387" i="40"/>
  <c r="M387" i="40"/>
  <c r="D373" i="40"/>
  <c r="M373" i="40"/>
  <c r="D371" i="40"/>
  <c r="M371" i="40"/>
  <c r="W976" i="40"/>
  <c r="AB976" i="40"/>
  <c r="AA976" i="40"/>
  <c r="W952" i="40"/>
  <c r="AB952" i="40"/>
  <c r="W936" i="40"/>
  <c r="AB936" i="40"/>
  <c r="W924" i="40"/>
  <c r="W938" i="40"/>
  <c r="W970" i="40"/>
  <c r="AB970" i="40"/>
  <c r="W974" i="40"/>
  <c r="AB974" i="40"/>
  <c r="W962" i="40"/>
  <c r="W958" i="40"/>
  <c r="AA958" i="40"/>
  <c r="W954" i="40"/>
  <c r="W950" i="40"/>
  <c r="W946" i="40"/>
  <c r="W942" i="40"/>
  <c r="AA942" i="40"/>
  <c r="W934" i="40"/>
  <c r="AB934" i="40"/>
  <c r="D1611" i="40"/>
  <c r="M940" i="40"/>
  <c r="P1089" i="40"/>
  <c r="M925" i="40"/>
  <c r="D1572" i="40"/>
  <c r="P1059" i="40"/>
  <c r="P1109" i="40"/>
  <c r="D1597" i="40"/>
  <c r="D1602" i="40"/>
  <c r="P1070" i="40"/>
  <c r="M954" i="40"/>
  <c r="M967" i="40"/>
  <c r="P1105" i="40"/>
  <c r="D1624" i="40"/>
  <c r="M966" i="40"/>
  <c r="M927" i="40"/>
  <c r="P1099" i="40"/>
  <c r="M923" i="40"/>
  <c r="P1120" i="40"/>
  <c r="D1603" i="40"/>
  <c r="M976" i="40"/>
  <c r="M981" i="40"/>
  <c r="D1594" i="40"/>
  <c r="M971" i="40"/>
  <c r="W918" i="40"/>
  <c r="AA918" i="40"/>
  <c r="D1623" i="40"/>
  <c r="P1097" i="40"/>
  <c r="D1596" i="40"/>
  <c r="P1112" i="40"/>
  <c r="D1584" i="40"/>
  <c r="M977" i="40"/>
  <c r="M926" i="40"/>
  <c r="M969" i="40"/>
  <c r="D1621" i="40"/>
  <c r="P1079" i="40"/>
  <c r="M921" i="40"/>
  <c r="P1075" i="40"/>
  <c r="P1066" i="40"/>
  <c r="P1064" i="40"/>
  <c r="M924" i="40"/>
  <c r="M917" i="40"/>
  <c r="M916" i="40"/>
  <c r="D1635" i="40"/>
  <c r="P1110" i="40"/>
  <c r="M980" i="40"/>
  <c r="M968" i="40"/>
  <c r="W979" i="40"/>
  <c r="W959" i="40"/>
  <c r="AB959" i="40"/>
  <c r="W947" i="40"/>
  <c r="W943" i="40"/>
  <c r="W939" i="40"/>
  <c r="AB939" i="40"/>
  <c r="W935" i="40"/>
  <c r="AB935" i="40"/>
  <c r="W931" i="40"/>
  <c r="AB931" i="40"/>
  <c r="W927" i="40"/>
  <c r="AA927" i="40"/>
  <c r="AB927" i="40"/>
  <c r="W923" i="40"/>
  <c r="AB923" i="40"/>
  <c r="P1119" i="40"/>
  <c r="P1090" i="40"/>
  <c r="P1534" i="40"/>
  <c r="P1063" i="40"/>
  <c r="P1058" i="40"/>
  <c r="P1091" i="40"/>
  <c r="P1096" i="40"/>
  <c r="P1103" i="40"/>
  <c r="P1533" i="40"/>
  <c r="P1526" i="40"/>
  <c r="P1531" i="40"/>
  <c r="P1512" i="40"/>
  <c r="P1069" i="40"/>
  <c r="P1510" i="40"/>
  <c r="P1082" i="40"/>
  <c r="M417" i="40"/>
  <c r="D1627" i="40"/>
  <c r="M411" i="40"/>
  <c r="P1554" i="40"/>
  <c r="D1663" i="40"/>
  <c r="D1644" i="40"/>
  <c r="M1313" i="40"/>
  <c r="D1588" i="40"/>
  <c r="M1199" i="40"/>
  <c r="P1532" i="40"/>
  <c r="D1703" i="40"/>
  <c r="D1661" i="40"/>
  <c r="O1130" i="40"/>
  <c r="M1155" i="40"/>
  <c r="P1550" i="40"/>
  <c r="M1337" i="40"/>
  <c r="D1587" i="40"/>
  <c r="M502" i="40"/>
  <c r="M1301" i="40"/>
  <c r="M1338" i="40"/>
  <c r="D1608" i="40"/>
  <c r="M1277" i="40"/>
  <c r="P1537" i="40"/>
  <c r="D1667" i="40"/>
  <c r="P1540" i="40"/>
  <c r="M384" i="40"/>
  <c r="P1088" i="40"/>
  <c r="D376" i="40"/>
  <c r="D1630" i="40"/>
  <c r="M1316" i="40"/>
  <c r="D1204" i="40"/>
  <c r="O1204" i="40"/>
  <c r="D1664" i="40"/>
  <c r="P1072" i="40"/>
  <c r="M958" i="40"/>
  <c r="P1491" i="40"/>
  <c r="M1278" i="40"/>
  <c r="D1607" i="40"/>
  <c r="D1636" i="40"/>
  <c r="D1695" i="40"/>
  <c r="P1519" i="40"/>
  <c r="P1494" i="40"/>
  <c r="D418" i="40"/>
  <c r="M418" i="40"/>
  <c r="D382" i="40"/>
  <c r="D1592" i="40"/>
  <c r="M178" i="40"/>
  <c r="M162" i="40"/>
  <c r="M956" i="40"/>
  <c r="M951" i="40"/>
  <c r="D1581" i="40"/>
  <c r="D1613" i="40"/>
  <c r="M376" i="40"/>
  <c r="M382" i="40"/>
  <c r="M1204" i="40"/>
  <c r="G155" i="22"/>
  <c r="K155" i="22"/>
  <c r="I124" i="15"/>
  <c r="I32" i="15"/>
  <c r="M32" i="15"/>
  <c r="N118" i="15"/>
  <c r="T205" i="1"/>
  <c r="N326" i="1"/>
  <c r="Q242" i="1"/>
  <c r="K118" i="15"/>
  <c r="R242" i="1"/>
  <c r="R235" i="1"/>
  <c r="G327" i="1"/>
  <c r="G344" i="1"/>
  <c r="G331" i="1"/>
  <c r="G335" i="1"/>
  <c r="G328" i="1"/>
  <c r="G154" i="22"/>
  <c r="K154" i="22"/>
  <c r="M155" i="22"/>
  <c r="L155" i="22"/>
  <c r="L32" i="15"/>
  <c r="I118" i="15"/>
  <c r="K120" i="15"/>
  <c r="K119" i="15"/>
  <c r="M154" i="22"/>
  <c r="I268" i="15"/>
  <c r="L118" i="15"/>
  <c r="I254" i="15"/>
  <c r="I125" i="15"/>
  <c r="G36" i="22"/>
  <c r="K37" i="22"/>
  <c r="R36" i="22"/>
  <c r="I36" i="22"/>
  <c r="R35" i="22"/>
  <c r="F526" i="42"/>
  <c r="C536" i="42"/>
  <c r="F734" i="42"/>
  <c r="C744" i="42"/>
  <c r="C64" i="42"/>
  <c r="F64" i="42"/>
  <c r="E754" i="42"/>
  <c r="E767" i="42"/>
  <c r="Q65" i="1"/>
  <c r="J36" i="1"/>
  <c r="O1062" i="40"/>
  <c r="G1064" i="24"/>
  <c r="F1064" i="24"/>
  <c r="G1011" i="24"/>
  <c r="F1011" i="24"/>
  <c r="G834" i="24"/>
  <c r="F834" i="24"/>
  <c r="G50" i="24"/>
  <c r="F50" i="24"/>
  <c r="C51" i="24"/>
  <c r="G51" i="24"/>
  <c r="P1108" i="40"/>
  <c r="C1077" i="24"/>
  <c r="G1077" i="24"/>
  <c r="F1362" i="24"/>
  <c r="G1364" i="24"/>
  <c r="F1364" i="24"/>
  <c r="G1117" i="24"/>
  <c r="F1117" i="24"/>
  <c r="F1094" i="24"/>
  <c r="C1099" i="24"/>
  <c r="G1099" i="24"/>
  <c r="G976" i="24"/>
  <c r="F976" i="24"/>
  <c r="G805" i="24"/>
  <c r="O1100" i="40"/>
  <c r="P1100" i="40"/>
  <c r="G738" i="24"/>
  <c r="O1094" i="40"/>
  <c r="F663" i="24"/>
  <c r="O1086" i="40"/>
  <c r="G427" i="24"/>
  <c r="F427" i="24"/>
  <c r="G374" i="24"/>
  <c r="F374" i="24"/>
  <c r="G361" i="24"/>
  <c r="G345" i="24"/>
  <c r="F345" i="24"/>
  <c r="G251" i="24"/>
  <c r="C252" i="24"/>
  <c r="G252" i="24"/>
  <c r="F251" i="24"/>
  <c r="G238" i="24"/>
  <c r="C241" i="24"/>
  <c r="F238" i="24"/>
  <c r="G227" i="24"/>
  <c r="C230" i="24"/>
  <c r="G230" i="24"/>
  <c r="G145" i="24"/>
  <c r="G113" i="24"/>
  <c r="F113" i="24"/>
  <c r="G72" i="24"/>
  <c r="F72" i="24"/>
  <c r="G1061" i="24"/>
  <c r="G1008" i="24"/>
  <c r="F1008" i="24"/>
  <c r="C1015" i="24"/>
  <c r="F1015" i="24"/>
  <c r="F870" i="24"/>
  <c r="G793" i="24"/>
  <c r="F793" i="24"/>
  <c r="O1061" i="40"/>
  <c r="G62" i="24"/>
  <c r="F62" i="24"/>
  <c r="P1511" i="40"/>
  <c r="F846" i="24"/>
  <c r="F982" i="24"/>
  <c r="F636" i="24"/>
  <c r="F697" i="24"/>
  <c r="O1549" i="40"/>
  <c r="F1154" i="24"/>
  <c r="G1299" i="24"/>
  <c r="C1302" i="24"/>
  <c r="F1302" i="24"/>
  <c r="G1096" i="24"/>
  <c r="F1096" i="24"/>
  <c r="G1054" i="24"/>
  <c r="F1054" i="24"/>
  <c r="O1098" i="40"/>
  <c r="F753" i="24"/>
  <c r="F773" i="24"/>
  <c r="C731" i="24"/>
  <c r="F1061" i="24"/>
  <c r="G1359" i="24"/>
  <c r="F1359" i="24"/>
  <c r="G1069" i="24"/>
  <c r="F1069" i="24"/>
  <c r="F1000" i="24"/>
  <c r="G1000" i="24"/>
  <c r="G780" i="24"/>
  <c r="C786" i="24"/>
  <c r="G695" i="24"/>
  <c r="F695" i="24"/>
  <c r="G634" i="24"/>
  <c r="C638" i="24"/>
  <c r="G638" i="24"/>
  <c r="F39" i="24"/>
  <c r="G480" i="24"/>
  <c r="F480" i="24"/>
  <c r="G66" i="24"/>
  <c r="C73" i="24"/>
  <c r="G73" i="24"/>
  <c r="P1536" i="40"/>
  <c r="P1492" i="40"/>
  <c r="P1535" i="40"/>
  <c r="F13" i="24"/>
  <c r="G100" i="24"/>
  <c r="C21" i="20"/>
  <c r="C13" i="20"/>
  <c r="F35" i="20"/>
  <c r="F40" i="20"/>
  <c r="F25" i="20"/>
  <c r="E35" i="20"/>
  <c r="E25" i="20"/>
  <c r="C25" i="20"/>
  <c r="E40" i="20"/>
  <c r="C34" i="20"/>
  <c r="D27" i="20"/>
  <c r="C31" i="20"/>
  <c r="P344" i="1"/>
  <c r="P327" i="1"/>
  <c r="P335" i="1"/>
  <c r="P331" i="1"/>
  <c r="T295" i="1"/>
  <c r="V295" i="1"/>
  <c r="S296" i="1"/>
  <c r="R296" i="1"/>
  <c r="S295" i="1"/>
  <c r="Q296" i="1"/>
  <c r="P1518" i="40"/>
  <c r="P1085" i="40"/>
  <c r="F473" i="24"/>
  <c r="G473" i="24"/>
  <c r="E326" i="1"/>
  <c r="E119" i="1"/>
  <c r="I327" i="1"/>
  <c r="I331" i="1"/>
  <c r="I344" i="1"/>
  <c r="Q120" i="1"/>
  <c r="S119" i="1"/>
  <c r="BK160" i="1"/>
  <c r="I335" i="1"/>
  <c r="D94" i="27"/>
  <c r="C110" i="27"/>
  <c r="G110" i="27"/>
  <c r="D1576" i="40"/>
  <c r="M366" i="40"/>
  <c r="M412" i="40"/>
  <c r="D1622" i="40"/>
  <c r="M402" i="40"/>
  <c r="D1612" i="40"/>
  <c r="M407" i="40"/>
  <c r="D1617" i="40"/>
  <c r="D1668" i="40"/>
  <c r="M305" i="40"/>
  <c r="X914" i="40"/>
  <c r="D1628" i="40"/>
  <c r="D1690" i="40"/>
  <c r="D1639" i="40"/>
  <c r="D1694" i="40"/>
  <c r="D1660" i="40"/>
  <c r="P1524" i="40"/>
  <c r="P1495" i="40"/>
  <c r="D1604" i="40"/>
  <c r="D1629" i="40"/>
  <c r="D1619" i="40"/>
  <c r="D1645" i="40"/>
  <c r="P1493" i="40"/>
  <c r="D1578" i="40"/>
  <c r="D1595" i="40"/>
  <c r="M1279" i="40"/>
  <c r="D1677" i="40"/>
  <c r="M1309" i="40"/>
  <c r="D1652" i="40"/>
  <c r="D1678" i="40"/>
  <c r="M1156" i="40"/>
  <c r="P1509" i="40"/>
  <c r="M367" i="40"/>
  <c r="W933" i="40"/>
  <c r="AA933" i="40"/>
  <c r="D1583" i="40"/>
  <c r="M960" i="40"/>
  <c r="AA981" i="40"/>
  <c r="D1673" i="40"/>
  <c r="D1625" i="40"/>
  <c r="P1523" i="40"/>
  <c r="D1614" i="40"/>
  <c r="D1590" i="40"/>
  <c r="P1525" i="40"/>
  <c r="D1641" i="40"/>
  <c r="D1642" i="40"/>
  <c r="M1290" i="40"/>
  <c r="D1658" i="40"/>
  <c r="M1462" i="40"/>
  <c r="D1682" i="40"/>
  <c r="M1326" i="40"/>
  <c r="M1323" i="40"/>
  <c r="AB962" i="40"/>
  <c r="M950" i="40"/>
  <c r="AB950" i="40"/>
  <c r="AA929" i="40"/>
  <c r="AA921" i="40"/>
  <c r="AA965" i="40"/>
  <c r="AA925" i="40"/>
  <c r="M1455" i="40"/>
  <c r="D1675" i="40"/>
  <c r="D1618" i="40"/>
  <c r="M919" i="40"/>
  <c r="D1585" i="40"/>
  <c r="D1649" i="40"/>
  <c r="D1662" i="40"/>
  <c r="O1559" i="40"/>
  <c r="D1681" i="40"/>
  <c r="P1552" i="40"/>
  <c r="D1646" i="40"/>
  <c r="D1684" i="40"/>
  <c r="D1686" i="40"/>
  <c r="P1529" i="40"/>
  <c r="D1705" i="40"/>
  <c r="D1700" i="40"/>
  <c r="D1665" i="40"/>
  <c r="M1315" i="40"/>
  <c r="D1653" i="40"/>
  <c r="D1702" i="40"/>
  <c r="M1446" i="40"/>
  <c r="O1275" i="40"/>
  <c r="M1339" i="40"/>
  <c r="D1698" i="40"/>
  <c r="M1333" i="40"/>
  <c r="M1317" i="40"/>
  <c r="AB978" i="40"/>
  <c r="AB965" i="40"/>
  <c r="AB956" i="40"/>
  <c r="AB916" i="40"/>
  <c r="AA952" i="40"/>
  <c r="AA936" i="40"/>
  <c r="AA920" i="40"/>
  <c r="M1182" i="40"/>
  <c r="D396" i="40"/>
  <c r="D390" i="40"/>
  <c r="D379" i="40"/>
  <c r="D1589" i="40"/>
  <c r="D372" i="40"/>
  <c r="D1582" i="40"/>
  <c r="AB938" i="40"/>
  <c r="M938" i="40"/>
  <c r="AB929" i="40"/>
  <c r="M929" i="40"/>
  <c r="AB925" i="40"/>
  <c r="AB921" i="40"/>
  <c r="AA980" i="40"/>
  <c r="AA964" i="40"/>
  <c r="AA956" i="40"/>
  <c r="W948" i="40"/>
  <c r="AA932" i="40"/>
  <c r="AA924" i="40"/>
  <c r="AA916" i="40"/>
  <c r="W972" i="40"/>
  <c r="AA972" i="40"/>
  <c r="D1650" i="40"/>
  <c r="AB980" i="40"/>
  <c r="AB972" i="40"/>
  <c r="AB964" i="40"/>
  <c r="M941" i="40"/>
  <c r="AB924" i="40"/>
  <c r="AA979" i="40"/>
  <c r="AA947" i="40"/>
  <c r="AA939" i="40"/>
  <c r="AA935" i="40"/>
  <c r="AA931" i="40"/>
  <c r="AA923" i="40"/>
  <c r="AB973" i="40"/>
  <c r="AB946" i="40"/>
  <c r="W969" i="40"/>
  <c r="AA969" i="40"/>
  <c r="W944" i="40"/>
  <c r="AB944" i="40"/>
  <c r="AA978" i="40"/>
  <c r="AA966" i="40"/>
  <c r="AA962" i="40"/>
  <c r="AA950" i="40"/>
  <c r="AA946" i="40"/>
  <c r="AA938" i="40"/>
  <c r="AB942" i="40"/>
  <c r="AB958" i="40"/>
  <c r="M922" i="40"/>
  <c r="AB922" i="40"/>
  <c r="W961" i="40"/>
  <c r="AB961" i="40"/>
  <c r="M970" i="40"/>
  <c r="M961" i="40"/>
  <c r="M946" i="40"/>
  <c r="M937" i="40"/>
  <c r="M934" i="40"/>
  <c r="L154" i="22"/>
  <c r="Q252" i="1"/>
  <c r="J206" i="1"/>
  <c r="R206" i="1"/>
  <c r="K331" i="1"/>
  <c r="J205" i="1"/>
  <c r="K335" i="1"/>
  <c r="C185" i="39"/>
  <c r="E185" i="39"/>
  <c r="C94" i="27"/>
  <c r="G94" i="27"/>
  <c r="D93" i="27"/>
  <c r="C93" i="27"/>
  <c r="R66" i="1"/>
  <c r="O36" i="1"/>
  <c r="T60" i="1"/>
  <c r="R37" i="1"/>
  <c r="N328" i="1"/>
  <c r="N344" i="1"/>
  <c r="N331" i="1"/>
  <c r="N327" i="1"/>
  <c r="N335" i="1"/>
  <c r="J314" i="1"/>
  <c r="R36" i="1"/>
  <c r="R60" i="1"/>
  <c r="Q61" i="1"/>
  <c r="R61" i="1"/>
  <c r="F93" i="27"/>
  <c r="E169" i="27"/>
  <c r="C305" i="42"/>
  <c r="F305" i="42"/>
  <c r="C646" i="42"/>
  <c r="F646" i="42"/>
  <c r="C657" i="42"/>
  <c r="F657" i="42"/>
  <c r="C229" i="42"/>
  <c r="F229" i="42"/>
  <c r="C733" i="42"/>
  <c r="F733" i="42"/>
  <c r="C327" i="42"/>
  <c r="F327" i="42"/>
  <c r="C426" i="42"/>
  <c r="F426" i="42"/>
  <c r="C503" i="42"/>
  <c r="F503" i="42"/>
  <c r="C349" i="42"/>
  <c r="F349" i="42"/>
  <c r="C613" i="42"/>
  <c r="F613" i="42"/>
  <c r="C459" i="42"/>
  <c r="F459" i="42"/>
  <c r="C196" i="42"/>
  <c r="F196" i="42"/>
  <c r="C360" i="42"/>
  <c r="F360" i="42"/>
  <c r="C635" i="42"/>
  <c r="F635" i="42"/>
  <c r="C722" i="42"/>
  <c r="F722" i="42"/>
  <c r="C338" i="42"/>
  <c r="F338" i="42"/>
  <c r="C668" i="42"/>
  <c r="F668" i="42"/>
  <c r="C557" i="42"/>
  <c r="F557" i="42"/>
  <c r="C207" i="42"/>
  <c r="F207" i="42"/>
  <c r="C31" i="42"/>
  <c r="C393" i="42"/>
  <c r="F393" i="42"/>
  <c r="F536" i="42"/>
  <c r="C316" i="42"/>
  <c r="F316" i="42"/>
  <c r="C624" i="42"/>
  <c r="F624" i="42"/>
  <c r="C295" i="42"/>
  <c r="F295" i="42"/>
  <c r="C678" i="42"/>
  <c r="F678" i="42"/>
  <c r="C163" i="42"/>
  <c r="F163" i="42"/>
  <c r="C284" i="42"/>
  <c r="F284" i="42"/>
  <c r="C602" i="42"/>
  <c r="F602" i="42"/>
  <c r="C711" i="42"/>
  <c r="F711" i="42"/>
  <c r="E113" i="39"/>
  <c r="C112" i="39"/>
  <c r="E112" i="39"/>
  <c r="C591" i="42"/>
  <c r="F591" i="42"/>
  <c r="F744" i="42"/>
  <c r="C569" i="42"/>
  <c r="F569" i="42"/>
  <c r="C86" i="42"/>
  <c r="F86" i="42"/>
  <c r="C75" i="42"/>
  <c r="F75" i="42"/>
  <c r="C53" i="42"/>
  <c r="F53" i="42"/>
  <c r="C42" i="42"/>
  <c r="F42" i="42"/>
  <c r="C371" i="42"/>
  <c r="F371" i="42"/>
  <c r="C174" i="42"/>
  <c r="F174" i="42"/>
  <c r="C689" i="42"/>
  <c r="F689" i="42"/>
  <c r="C546" i="42"/>
  <c r="F546" i="42"/>
  <c r="C185" i="42"/>
  <c r="F185" i="42"/>
  <c r="C141" i="42"/>
  <c r="F141" i="42"/>
  <c r="C130" i="42"/>
  <c r="F130" i="42"/>
  <c r="C404" i="42"/>
  <c r="F404" i="42"/>
  <c r="C262" i="42"/>
  <c r="F262" i="42"/>
  <c r="C492" i="42"/>
  <c r="F492" i="42"/>
  <c r="C119" i="42"/>
  <c r="F119" i="42"/>
  <c r="C481" i="42"/>
  <c r="F481" i="42"/>
  <c r="C700" i="42"/>
  <c r="F700" i="42"/>
  <c r="C514" i="42"/>
  <c r="F514" i="42"/>
  <c r="C437" i="42"/>
  <c r="F437" i="42"/>
  <c r="C580" i="42"/>
  <c r="F580" i="42"/>
  <c r="C525" i="42"/>
  <c r="F525" i="42"/>
  <c r="C240" i="42"/>
  <c r="F240" i="42"/>
  <c r="C251" i="42"/>
  <c r="F251" i="42"/>
  <c r="C152" i="42"/>
  <c r="F152" i="42"/>
  <c r="C218" i="42"/>
  <c r="F218" i="42"/>
  <c r="C470" i="42"/>
  <c r="F470" i="42"/>
  <c r="C382" i="42"/>
  <c r="F382" i="42"/>
  <c r="C415" i="42"/>
  <c r="F415" i="42"/>
  <c r="C448" i="42"/>
  <c r="F448" i="42"/>
  <c r="C20" i="42"/>
  <c r="F20" i="42"/>
  <c r="C108" i="42"/>
  <c r="F108" i="42"/>
  <c r="C273" i="42"/>
  <c r="F273" i="42"/>
  <c r="C97" i="42"/>
  <c r="F97" i="42"/>
  <c r="I288" i="22"/>
  <c r="L36" i="22"/>
  <c r="K36" i="22"/>
  <c r="G288" i="22"/>
  <c r="G354" i="22"/>
  <c r="M36" i="22"/>
  <c r="F31" i="42"/>
  <c r="C754" i="42"/>
  <c r="C761" i="42"/>
  <c r="G786" i="24"/>
  <c r="G1302" i="24"/>
  <c r="F230" i="24"/>
  <c r="P1094" i="40"/>
  <c r="F252" i="24"/>
  <c r="P1086" i="40"/>
  <c r="F1077" i="24"/>
  <c r="F73" i="24"/>
  <c r="P1098" i="40"/>
  <c r="P1549" i="40"/>
  <c r="G731" i="24"/>
  <c r="F731" i="24"/>
  <c r="G1015" i="24"/>
  <c r="G241" i="24"/>
  <c r="F241" i="24"/>
  <c r="P1062" i="40"/>
  <c r="F39" i="20"/>
  <c r="F48" i="20"/>
  <c r="E39" i="20"/>
  <c r="E48" i="20"/>
  <c r="D40" i="20"/>
  <c r="C27" i="20"/>
  <c r="D35" i="20"/>
  <c r="R119" i="1"/>
  <c r="S118" i="1"/>
  <c r="E314" i="1"/>
  <c r="AB969" i="40"/>
  <c r="M372" i="40"/>
  <c r="AB981" i="40"/>
  <c r="M379" i="40"/>
  <c r="AA961" i="40"/>
  <c r="AA944" i="40"/>
  <c r="M396" i="40"/>
  <c r="D1606" i="40"/>
  <c r="M390" i="40"/>
  <c r="D1600" i="40"/>
  <c r="I354" i="22"/>
  <c r="R205" i="1"/>
  <c r="J326" i="1"/>
  <c r="J327" i="1"/>
  <c r="Q205" i="1"/>
  <c r="Q206" i="1"/>
  <c r="S205" i="1"/>
  <c r="G185" i="39"/>
  <c r="C169" i="27"/>
  <c r="C201" i="27"/>
  <c r="C196" i="27"/>
  <c r="D169" i="27"/>
  <c r="D196" i="27"/>
  <c r="T36" i="1"/>
  <c r="O314" i="1"/>
  <c r="K322" i="1"/>
  <c r="V36" i="1"/>
  <c r="Q334" i="1"/>
  <c r="J344" i="1"/>
  <c r="Q60" i="1"/>
  <c r="Q36" i="1"/>
  <c r="Q37" i="1"/>
  <c r="J331" i="1"/>
  <c r="E201" i="27"/>
  <c r="E196" i="27"/>
  <c r="F169" i="27"/>
  <c r="G93" i="27"/>
  <c r="K288" i="22"/>
  <c r="C767" i="42"/>
  <c r="C35" i="20"/>
  <c r="D48" i="20"/>
  <c r="D39" i="20"/>
  <c r="C40" i="20"/>
  <c r="E344" i="1"/>
  <c r="O330" i="1"/>
  <c r="E335" i="1"/>
  <c r="R314" i="1"/>
  <c r="R340" i="1"/>
  <c r="R344" i="1"/>
  <c r="E328" i="1"/>
  <c r="E327" i="1"/>
  <c r="Q321" i="1"/>
  <c r="E331" i="1"/>
  <c r="Q326" i="1"/>
  <c r="R326" i="1"/>
  <c r="R327" i="1"/>
  <c r="J328" i="1"/>
  <c r="Q314" i="1"/>
  <c r="J335" i="1"/>
  <c r="D201" i="27"/>
  <c r="O327" i="1"/>
  <c r="E322" i="1"/>
  <c r="O344" i="1"/>
  <c r="I322" i="1"/>
  <c r="T313" i="1"/>
  <c r="O335" i="1"/>
  <c r="O328" i="1"/>
  <c r="V313" i="1"/>
  <c r="O331" i="1"/>
  <c r="S37" i="1"/>
  <c r="S36" i="1"/>
  <c r="S313" i="1"/>
  <c r="S314" i="1"/>
  <c r="F201" i="27"/>
  <c r="F196" i="27"/>
  <c r="G169" i="27"/>
  <c r="C39" i="20"/>
  <c r="C48" i="20"/>
  <c r="Q331" i="1"/>
  <c r="R331" i="1"/>
  <c r="Q335" i="1"/>
  <c r="R328" i="1"/>
  <c r="Q327" i="1"/>
  <c r="Q344" i="1"/>
  <c r="Q328" i="1"/>
  <c r="Q322" i="1"/>
  <c r="G1004" i="24"/>
  <c r="F1004" i="24"/>
  <c r="F941" i="24"/>
  <c r="G941" i="24"/>
  <c r="P1101" i="40"/>
  <c r="P1545" i="40"/>
  <c r="G1066" i="24"/>
  <c r="F1066" i="24"/>
  <c r="P1123" i="40"/>
  <c r="G225" i="24"/>
  <c r="F225" i="24"/>
  <c r="F786" i="24"/>
  <c r="P1541" i="40"/>
  <c r="C775" i="24"/>
  <c r="F219" i="24"/>
  <c r="C1277" i="24"/>
  <c r="G981" i="24"/>
  <c r="G1063" i="24"/>
  <c r="F1086" i="24"/>
  <c r="F1345" i="24"/>
  <c r="P1118" i="40"/>
  <c r="F968" i="24"/>
  <c r="G968" i="24"/>
  <c r="G759" i="24"/>
  <c r="F759" i="24"/>
  <c r="P1092" i="40"/>
  <c r="G569" i="24"/>
  <c r="C574" i="24"/>
  <c r="G487" i="24"/>
  <c r="F487" i="24"/>
  <c r="G394" i="24"/>
  <c r="F394" i="24"/>
  <c r="G372" i="24"/>
  <c r="F372" i="24"/>
  <c r="G36" i="24"/>
  <c r="F36" i="24"/>
  <c r="G28" i="24"/>
  <c r="F28" i="24"/>
  <c r="P1111" i="40"/>
  <c r="O1106" i="40"/>
  <c r="F972" i="24"/>
  <c r="G989" i="24"/>
  <c r="F989" i="24"/>
  <c r="G757" i="24"/>
  <c r="C764" i="24"/>
  <c r="G764" i="24"/>
  <c r="F757" i="24"/>
  <c r="G369" i="24"/>
  <c r="F369" i="24"/>
  <c r="C375" i="24"/>
  <c r="C1088" i="24"/>
  <c r="G1088" i="24"/>
  <c r="F51" i="24"/>
  <c r="P1093" i="40"/>
  <c r="C40" i="24"/>
  <c r="F785" i="24"/>
  <c r="O1548" i="40"/>
  <c r="E1368" i="24"/>
  <c r="C364" i="24"/>
  <c r="C742" i="24"/>
  <c r="G742" i="24"/>
  <c r="C1367" i="24"/>
  <c r="G1367" i="24"/>
  <c r="G768" i="24"/>
  <c r="P1538" i="40"/>
  <c r="P1115" i="40"/>
  <c r="P1074" i="40"/>
  <c r="P1068" i="40"/>
  <c r="G418" i="24"/>
  <c r="C18" i="24"/>
  <c r="G1073" i="24"/>
  <c r="P1117" i="40"/>
  <c r="C499" i="24"/>
  <c r="G499" i="24"/>
  <c r="F34" i="24"/>
  <c r="F1082" i="24"/>
  <c r="F47" i="24"/>
  <c r="C106" i="24"/>
  <c r="F105" i="24"/>
  <c r="C1356" i="24"/>
  <c r="G1356" i="24"/>
  <c r="G1350" i="24"/>
  <c r="P1113" i="40"/>
  <c r="P1527" i="40"/>
  <c r="G637" i="24"/>
  <c r="F637" i="24"/>
  <c r="G609" i="24"/>
  <c r="F609" i="24"/>
  <c r="G562" i="24"/>
  <c r="C563" i="24"/>
  <c r="G430" i="24"/>
  <c r="F430" i="24"/>
  <c r="G417" i="24"/>
  <c r="F417" i="24"/>
  <c r="G390" i="24"/>
  <c r="C397" i="24"/>
  <c r="G397" i="24"/>
  <c r="O1067" i="40"/>
  <c r="O1056" i="40"/>
  <c r="F133" i="24"/>
  <c r="G70" i="24"/>
  <c r="F70" i="24"/>
  <c r="G950" i="24"/>
  <c r="F950" i="24"/>
  <c r="G1183" i="24"/>
  <c r="F1183" i="24"/>
  <c r="G1301" i="24"/>
  <c r="F1301" i="24"/>
  <c r="G997" i="24"/>
  <c r="F997" i="24"/>
  <c r="C993" i="24"/>
  <c r="G993" i="24"/>
  <c r="G948" i="24"/>
  <c r="F948" i="24"/>
  <c r="F845" i="24"/>
  <c r="G845" i="24"/>
  <c r="G833" i="24"/>
  <c r="F833" i="24"/>
  <c r="C835" i="24"/>
  <c r="O1520" i="40"/>
  <c r="G479" i="24"/>
  <c r="F479" i="24"/>
  <c r="O1514" i="40"/>
  <c r="F386" i="24"/>
  <c r="G384" i="24"/>
  <c r="F384" i="24"/>
  <c r="G334" i="24"/>
  <c r="F334" i="24"/>
  <c r="C342" i="24"/>
  <c r="P1073" i="40"/>
  <c r="G496" i="24"/>
  <c r="F1367" i="24"/>
  <c r="P1102" i="40"/>
  <c r="C488" i="24"/>
  <c r="G870" i="24"/>
  <c r="P1107" i="40"/>
  <c r="G300" i="24"/>
  <c r="F300" i="24"/>
  <c r="P1530" i="40"/>
  <c r="P1116" i="40"/>
  <c r="C159" i="24"/>
  <c r="C442" i="24"/>
  <c r="P1503" i="40"/>
  <c r="D1368" i="24"/>
  <c r="P1121" i="40"/>
  <c r="C807" i="24"/>
  <c r="G807" i="24"/>
  <c r="G1071" i="24"/>
  <c r="P1500" i="40"/>
  <c r="P1081" i="40"/>
  <c r="P1544" i="40"/>
  <c r="P1122" i="40"/>
  <c r="P1060" i="40"/>
  <c r="F569" i="24"/>
  <c r="G117" i="24"/>
  <c r="P1547" i="40"/>
  <c r="G441" i="24"/>
  <c r="F601" i="24"/>
  <c r="F971" i="24"/>
  <c r="C29" i="24"/>
  <c r="F769" i="24"/>
  <c r="F11" i="24"/>
  <c r="C585" i="24"/>
  <c r="O1496" i="40"/>
  <c r="F1366" i="24"/>
  <c r="P1517" i="40"/>
  <c r="O1083" i="40"/>
  <c r="P1551" i="40"/>
  <c r="G1237" i="24"/>
  <c r="F1237" i="24"/>
  <c r="C1238" i="24"/>
  <c r="O1114" i="40"/>
  <c r="G1084" i="24"/>
  <c r="G987" i="24"/>
  <c r="F987" i="24"/>
  <c r="F979" i="24"/>
  <c r="G977" i="24"/>
  <c r="G843" i="24"/>
  <c r="F843" i="24"/>
  <c r="G779" i="24"/>
  <c r="F779" i="24"/>
  <c r="P1095" i="40"/>
  <c r="P1084" i="40"/>
  <c r="O1515" i="40"/>
  <c r="F397" i="24"/>
  <c r="F331" i="24"/>
  <c r="G310" i="24"/>
  <c r="F310" i="24"/>
  <c r="G229" i="24"/>
  <c r="F229" i="24"/>
  <c r="G157" i="24"/>
  <c r="G141" i="24"/>
  <c r="G1059" i="24"/>
  <c r="F1059" i="24"/>
  <c r="P1061" i="40"/>
  <c r="M422" i="40"/>
  <c r="D1632" i="40"/>
  <c r="M1285" i="40"/>
  <c r="D1647" i="40"/>
  <c r="M1190" i="40"/>
  <c r="D1692" i="40"/>
  <c r="P1543" i="40"/>
  <c r="P1522" i="40"/>
  <c r="M1169" i="40"/>
  <c r="M1149" i="40"/>
  <c r="D1651" i="40"/>
  <c r="M353" i="40"/>
  <c r="D1634" i="40"/>
  <c r="AA941" i="40"/>
  <c r="AA951" i="40"/>
  <c r="AB918" i="40"/>
  <c r="P1498" i="40"/>
  <c r="D1688" i="40"/>
  <c r="E359" i="40"/>
  <c r="D1274" i="40"/>
  <c r="W915" i="40"/>
  <c r="O770" i="40"/>
  <c r="O495" i="40"/>
  <c r="M769" i="40"/>
  <c r="M982" i="40"/>
  <c r="O913" i="40"/>
  <c r="M1481" i="40"/>
  <c r="D1701" i="40"/>
  <c r="M1477" i="40"/>
  <c r="D1697" i="40"/>
  <c r="M1473" i="40"/>
  <c r="D1693" i="40"/>
  <c r="M1469" i="40"/>
  <c r="D1689" i="40"/>
  <c r="M1465" i="40"/>
  <c r="D1415" i="40"/>
  <c r="M1415" i="40"/>
  <c r="P1555" i="40"/>
  <c r="M1342" i="40"/>
  <c r="D1704" i="40"/>
  <c r="O73" i="40"/>
  <c r="M73" i="40"/>
  <c r="M1329" i="40"/>
  <c r="P1542" i="40"/>
  <c r="M500" i="40"/>
  <c r="D496" i="40"/>
  <c r="M496" i="40"/>
  <c r="D1571" i="40"/>
  <c r="M423" i="40"/>
  <c r="D1633" i="40"/>
  <c r="M315" i="40"/>
  <c r="D285" i="40"/>
  <c r="M213" i="40"/>
  <c r="D1569" i="40"/>
  <c r="M152" i="40"/>
  <c r="D1575" i="40"/>
  <c r="AA953" i="40"/>
  <c r="AA926" i="40"/>
  <c r="W926" i="40"/>
  <c r="AB926" i="40"/>
  <c r="Z914" i="40"/>
  <c r="AA959" i="40"/>
  <c r="AB933" i="40"/>
  <c r="AA915" i="40"/>
  <c r="AA930" i="40"/>
  <c r="AA963" i="40"/>
  <c r="AB948" i="40"/>
  <c r="AA948" i="40"/>
  <c r="D1586" i="40"/>
  <c r="D1671" i="40"/>
  <c r="J359" i="40"/>
  <c r="D1615" i="40"/>
  <c r="W919" i="40"/>
  <c r="AB919" i="40"/>
  <c r="AB943" i="40"/>
  <c r="AA943" i="40"/>
  <c r="W967" i="40"/>
  <c r="AB967" i="40"/>
  <c r="D427" i="40"/>
  <c r="AB954" i="40"/>
  <c r="AA954" i="40"/>
  <c r="M1486" i="40"/>
  <c r="M1194" i="40"/>
  <c r="D1696" i="40"/>
  <c r="M1153" i="40"/>
  <c r="P1506" i="40"/>
  <c r="M1141" i="40"/>
  <c r="M360" i="40"/>
  <c r="M328" i="40"/>
  <c r="D1609" i="40"/>
  <c r="M156" i="40"/>
  <c r="D1579" i="40"/>
  <c r="M147" i="40"/>
  <c r="D144" i="40"/>
  <c r="AA928" i="40"/>
  <c r="W928" i="40"/>
  <c r="AB928" i="40"/>
  <c r="AA957" i="40"/>
  <c r="W975" i="40"/>
  <c r="AB975" i="40"/>
  <c r="W955" i="40"/>
  <c r="AB955" i="40"/>
  <c r="AA955" i="40"/>
  <c r="AA919" i="40"/>
  <c r="P1502" i="40"/>
  <c r="D1605" i="40"/>
  <c r="P1539" i="40"/>
  <c r="W971" i="40"/>
  <c r="AB971" i="40"/>
  <c r="AA974" i="40"/>
  <c r="D1616" i="40"/>
  <c r="M406" i="40"/>
  <c r="M479" i="40"/>
  <c r="D1655" i="40"/>
  <c r="M1460" i="40"/>
  <c r="D1680" i="40"/>
  <c r="AB979" i="40"/>
  <c r="AB953" i="40"/>
  <c r="AA970" i="40"/>
  <c r="D911" i="40"/>
  <c r="D1574" i="40"/>
  <c r="P1508" i="40"/>
  <c r="D1699" i="40"/>
  <c r="M1197" i="40"/>
  <c r="D1659" i="40"/>
  <c r="M1297" i="40"/>
  <c r="AA968" i="40"/>
  <c r="AA960" i="40"/>
  <c r="M154" i="40"/>
  <c r="D1577" i="40"/>
  <c r="W917" i="40"/>
  <c r="AB917" i="40"/>
  <c r="D416" i="40"/>
  <c r="D391" i="40"/>
  <c r="D383" i="40"/>
  <c r="AB957" i="40"/>
  <c r="AB947" i="40"/>
  <c r="W949" i="40"/>
  <c r="AB949" i="40"/>
  <c r="W945" i="40"/>
  <c r="AB945" i="40"/>
  <c r="W941" i="40"/>
  <c r="AB941" i="40"/>
  <c r="N701" i="40"/>
  <c r="G256" i="39"/>
  <c r="G189" i="39"/>
  <c r="E23" i="39"/>
  <c r="E17" i="39"/>
  <c r="C391" i="39"/>
  <c r="G13" i="39"/>
  <c r="G35" i="39"/>
  <c r="R335" i="1"/>
  <c r="D767" i="42"/>
  <c r="D761" i="42"/>
  <c r="C323" i="39"/>
  <c r="E369" i="39"/>
  <c r="F754" i="42"/>
  <c r="E761" i="42"/>
  <c r="G112" i="39"/>
  <c r="E391" i="39"/>
  <c r="C395" i="39"/>
  <c r="G342" i="24"/>
  <c r="F342" i="24"/>
  <c r="G574" i="24"/>
  <c r="F574" i="24"/>
  <c r="G1277" i="24"/>
  <c r="F1277" i="24"/>
  <c r="P1083" i="40"/>
  <c r="P1496" i="40"/>
  <c r="F1356" i="24"/>
  <c r="F499" i="24"/>
  <c r="F563" i="24"/>
  <c r="G563" i="24"/>
  <c r="F364" i="24"/>
  <c r="G364" i="24"/>
  <c r="G40" i="24"/>
  <c r="F40" i="24"/>
  <c r="G375" i="24"/>
  <c r="F375" i="24"/>
  <c r="F1088" i="24"/>
  <c r="F993" i="24"/>
  <c r="P1515" i="40"/>
  <c r="F1238" i="24"/>
  <c r="G1238" i="24"/>
  <c r="F585" i="24"/>
  <c r="G585" i="24"/>
  <c r="G29" i="24"/>
  <c r="F29" i="24"/>
  <c r="G442" i="24"/>
  <c r="F442" i="24"/>
  <c r="F742" i="24"/>
  <c r="F488" i="24"/>
  <c r="G488" i="24"/>
  <c r="P1514" i="40"/>
  <c r="P1520" i="40"/>
  <c r="P1067" i="40"/>
  <c r="F106" i="24"/>
  <c r="G106" i="24"/>
  <c r="F1368" i="24"/>
  <c r="F764" i="24"/>
  <c r="F775" i="24"/>
  <c r="G775" i="24"/>
  <c r="P1114" i="40"/>
  <c r="G159" i="24"/>
  <c r="F159" i="24"/>
  <c r="O1489" i="40"/>
  <c r="G835" i="24"/>
  <c r="F835" i="24"/>
  <c r="C1368" i="24"/>
  <c r="G1368" i="24"/>
  <c r="G18" i="24"/>
  <c r="F18" i="24"/>
  <c r="P1548" i="40"/>
  <c r="P1106" i="40"/>
  <c r="F807" i="24"/>
  <c r="M285" i="40"/>
  <c r="O285" i="40"/>
  <c r="O144" i="40"/>
  <c r="M144" i="40"/>
  <c r="M1133" i="40"/>
  <c r="D1637" i="40"/>
  <c r="O1133" i="40"/>
  <c r="D1713" i="40"/>
  <c r="AB915" i="40"/>
  <c r="W914" i="40"/>
  <c r="AA945" i="40"/>
  <c r="AA967" i="40"/>
  <c r="M416" i="40"/>
  <c r="D1626" i="40"/>
  <c r="AA949" i="40"/>
  <c r="AA917" i="40"/>
  <c r="D1373" i="24"/>
  <c r="M911" i="40"/>
  <c r="P1056" i="40"/>
  <c r="E1373" i="24"/>
  <c r="E1374" i="24"/>
  <c r="M1274" i="40"/>
  <c r="O1134" i="40"/>
  <c r="D1601" i="40"/>
  <c r="M391" i="40"/>
  <c r="M383" i="40"/>
  <c r="D1593" i="40"/>
  <c r="O1568" i="40"/>
  <c r="AA975" i="40"/>
  <c r="D359" i="40"/>
  <c r="D1712" i="40"/>
  <c r="D1714" i="40"/>
  <c r="M427" i="40"/>
  <c r="N427" i="40"/>
  <c r="AA971" i="40"/>
  <c r="C392" i="39"/>
  <c r="G323" i="39"/>
  <c r="E323" i="39"/>
  <c r="P1489" i="40"/>
  <c r="D1568" i="40"/>
  <c r="N356" i="40"/>
  <c r="M359" i="40"/>
  <c r="D1374" i="24"/>
  <c r="C1373" i="24"/>
  <c r="C1374" i="24"/>
  <c r="M1637" i="40"/>
  <c r="M1638" i="40"/>
  <c r="O1567" i="40"/>
  <c r="E392" i="39"/>
  <c r="C396" i="39"/>
  <c r="C390" i="39"/>
  <c r="M1568" i="40"/>
  <c r="D1567" i="40"/>
  <c r="O1569" i="40"/>
  <c r="P1567" i="40"/>
  <c r="E390" i="39"/>
  <c r="C394" i="39"/>
  <c r="M1567" i="40"/>
  <c r="D1715" i="40"/>
</calcChain>
</file>

<file path=xl/sharedStrings.xml><?xml version="1.0" encoding="utf-8"?>
<sst xmlns="http://schemas.openxmlformats.org/spreadsheetml/2006/main" count="8760" uniqueCount="2339">
  <si>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</si>
  <si>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ЗФ</t>
  </si>
  <si>
    <t>СФ</t>
  </si>
  <si>
    <t>Контроль</t>
  </si>
  <si>
    <t xml:space="preserve">Повернення коштів, наданих для кредитування громадян на будівництво (реконструкцію) та придбання житла </t>
  </si>
  <si>
    <t>Заходи державної політики з питань дітей та їх соціального захисту</t>
  </si>
  <si>
    <t>Фіксований податок на доходи фізичних осіб від зайняття підприємницькою діяльністю</t>
  </si>
  <si>
    <t>Податок на прибуток підприємств</t>
  </si>
  <si>
    <t>0111</t>
  </si>
  <si>
    <t>1090</t>
  </si>
  <si>
    <t>0511</t>
  </si>
  <si>
    <t>0180</t>
  </si>
  <si>
    <t>1140</t>
  </si>
  <si>
    <t>0950</t>
  </si>
  <si>
    <t>0133</t>
  </si>
  <si>
    <t>1040</t>
  </si>
  <si>
    <t>0922</t>
  </si>
  <si>
    <t>1050</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</si>
  <si>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</si>
  <si>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</si>
  <si>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</si>
  <si>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</si>
  <si>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0930</t>
  </si>
  <si>
    <t>1120</t>
  </si>
  <si>
    <t>0941</t>
  </si>
  <si>
    <t>Гранти (дарунки), що надійшли до бюджетів усіх рівнів</t>
  </si>
  <si>
    <t xml:space="preserve">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</si>
  <si>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t>
  </si>
  <si>
    <t>Кошти, отримані від учасника-переможця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учаснику-переможцю</t>
  </si>
  <si>
    <t>0512</t>
  </si>
  <si>
    <t>9120</t>
  </si>
  <si>
    <t xml:space="preserve">Субвенція з державного бюджету місцевим бюджетам на здійснення заходів щодо соціально-економічного розвитку окремих територій </t>
  </si>
  <si>
    <t>Стабілізаційна дотація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</si>
  <si>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</si>
  <si>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Встановлення телефонів інвалідам І і ІІ груп</t>
  </si>
  <si>
    <t>Рентна плата за користування  надрами  для видобування корисних копалин місцевого значення</t>
  </si>
  <si>
    <t>Інші податки та збори</t>
  </si>
  <si>
    <t>Екологічний податок</t>
  </si>
  <si>
    <t>Рентна плата за спеціальне використання води для потреб гідроенергетики</t>
  </si>
  <si>
    <t>Доходи від операцій з капіталом</t>
  </si>
  <si>
    <t>Надходження від продажу основного капіталу</t>
  </si>
  <si>
    <t>Утримання та навчально-тренувальна робота комунальних дитячо-юнацьких спортивних шкіл</t>
  </si>
  <si>
    <t>Зміни обсягів бюджетних коштів</t>
  </si>
  <si>
    <t>Управління агропромислового розвитку Житомирської обласної державної адміністрації</t>
  </si>
  <si>
    <t>Управління інформаційної діяльності та комунікацій з громадськістю Житомирської обласної державної адміністрації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</si>
  <si>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</si>
  <si>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Податок на доходи фізичних осіб, що сплачується податковими агентами, із доходів платника податку у вигляді заробітної плати</t>
  </si>
  <si>
    <t>Житомирська обласна рада</t>
  </si>
  <si>
    <t>Житомирська обласна державна адміністрація</t>
  </si>
  <si>
    <t>Фінансування за рахунок зміни залишків коштів бюджетів</t>
  </si>
  <si>
    <t>5053</t>
  </si>
  <si>
    <t>5061</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</si>
  <si>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</si>
  <si>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Загальний фонд</t>
  </si>
  <si>
    <t>Спеціальний фонд</t>
  </si>
  <si>
    <t>Разом</t>
  </si>
  <si>
    <t>1060</t>
  </si>
  <si>
    <t>Підвищення кваліфікації, перепідготовка кадрів іншими закладами післядипломної освіти</t>
  </si>
  <si>
    <t>2010</t>
  </si>
  <si>
    <t>Багатопрофільна стаціонарна медична допомога населенню</t>
  </si>
  <si>
    <t>2030</t>
  </si>
  <si>
    <t>0732</t>
  </si>
  <si>
    <t>2050</t>
  </si>
  <si>
    <t>Додаток 1</t>
  </si>
  <si>
    <t>Плата за ліцензії та сертифікати, що сплачується ліцензіатами за місцем здійснення діяльності</t>
  </si>
  <si>
    <t>Утримання закладів, що надають соціальні послуги дітям, які опинились у складних життєвих обставинах</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</si>
  <si>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</si>
  <si>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</si>
  <si>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</si>
  <si>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Призначення субвенції</t>
  </si>
  <si>
    <t>0100000</t>
  </si>
  <si>
    <t>0110000</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</si>
  <si>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</si>
  <si>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</si>
  <si>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</si>
  <si>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Охорона та раціональне використання природних ресурсів</t>
  </si>
  <si>
    <t>Утилізація відходів</t>
  </si>
  <si>
    <t>Додаток 1.1</t>
  </si>
  <si>
    <t>Місцевий бюджет з якого надається субвенція</t>
  </si>
  <si>
    <t>По відповідальних виконавцях</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</si>
  <si>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</si>
  <si>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</si>
  <si>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Додаток 5.1</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</si>
  <si>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</si>
  <si>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видатки споживання</t>
  </si>
  <si>
    <t>видатки розвитку</t>
  </si>
  <si>
    <t>Кошти від відчуження майна, що належить Автономній Республіці Крим та майна, що перебуває в комунальній власності</t>
  </si>
  <si>
    <t xml:space="preserve">                                                                                                тис.грн.</t>
  </si>
  <si>
    <t xml:space="preserve">                                                                                                                                                                 </t>
  </si>
  <si>
    <t>Субвенція з державного бюджету місцевим бюджетам на надання державної підтримки особам з особливими освітніми потребами</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</si>
  <si>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</si>
  <si>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</si>
  <si>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</si>
  <si>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Рентна плата та плата за використання інших природних ресурсів</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</si>
  <si>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</si>
  <si>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</si>
  <si>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води</t>
  </si>
  <si>
    <t>Департамент фінансів Житомирської обласної державної адміністрації</t>
  </si>
  <si>
    <t>Спеціалізована стаціонарна медична допомога населенню</t>
  </si>
  <si>
    <t>0731</t>
  </si>
  <si>
    <t>0733</t>
  </si>
  <si>
    <t>2060</t>
  </si>
  <si>
    <t>0734</t>
  </si>
  <si>
    <t>2090</t>
  </si>
  <si>
    <t>0761</t>
  </si>
  <si>
    <t>Медико-соціальний захист дітей-сиріт і дітей, позбавлених батьківського піклування</t>
  </si>
  <si>
    <t>2100</t>
  </si>
  <si>
    <t>0762</t>
  </si>
  <si>
    <t>Створення банків крові та її компонентів</t>
  </si>
  <si>
    <t>0724</t>
  </si>
  <si>
    <t>2130</t>
  </si>
  <si>
    <t>0722</t>
  </si>
  <si>
    <t>Спеціалізована амбулаторно-поліклінічна допомога населенню</t>
  </si>
  <si>
    <t>капітальні видатки за рахунок коштів, що передаються із загального фонду до бюджету розвитку (спеціального фонду)</t>
  </si>
  <si>
    <t>загальний фонд</t>
  </si>
  <si>
    <t>спеціальний фонд</t>
  </si>
  <si>
    <t>Місцевий бюджет якому надається субвенція</t>
  </si>
  <si>
    <t>Субвенція з державного бюджету місцевим бюджетам на проведення виборів депутатів місцевих рад та сільських, селищних, міських голів</t>
  </si>
  <si>
    <t>Від Європейського Союзу, урядів іноземних держав, міжнародних організацій, донорських установ</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</si>
  <si>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</si>
  <si>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</si>
  <si>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7610</t>
  </si>
  <si>
    <t>Інші заходи, пов'язані з економічною діяльністю</t>
  </si>
  <si>
    <t>Цільові фонди</t>
  </si>
  <si>
    <t>Код</t>
  </si>
  <si>
    <t>3200</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</si>
  <si>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</si>
  <si>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Надання стоматологічної допомоги населенню</t>
  </si>
  <si>
    <t>0763</t>
  </si>
  <si>
    <t>Проведення належної медико-соціальної експертизи (МСЕК)</t>
  </si>
  <si>
    <t>0824</t>
  </si>
  <si>
    <t>3050</t>
  </si>
  <si>
    <t>Пільгове медичне обслуговування осіб, які постраждали внаслідок Чорнобильської катастрофи</t>
  </si>
  <si>
    <t>3090</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</si>
  <si>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</si>
  <si>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</si>
  <si>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</si>
  <si>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</si>
  <si>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</si>
  <si>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</si>
  <si>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</si>
  <si>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3105</t>
  </si>
  <si>
    <t>Забезпечення обробки інформації з нарахування та виплати допомог і компенсацій</t>
  </si>
  <si>
    <t>3112</t>
  </si>
  <si>
    <t>2400000</t>
  </si>
  <si>
    <t>2410000</t>
  </si>
  <si>
    <t>Управління у справах молоді та спорту облдержадміністрації</t>
  </si>
  <si>
    <t>Заходи державної політики з питань сім'ї</t>
  </si>
  <si>
    <t>Проведення навчально-тренувальних зборів і змагань з олімпійських видів спорту</t>
  </si>
  <si>
    <t>Надходження від ввезення палива на митну територію України податковими агентами</t>
  </si>
  <si>
    <t>Неподаткові надходження</t>
  </si>
  <si>
    <t>Доходи від власності та підприємницької діяльності</t>
  </si>
  <si>
    <t>Плата за розміщення тимчасово вільних коштів місцевих бюджетів</t>
  </si>
  <si>
    <t>Авансові внески з податку на прибуток приватних підприємств</t>
  </si>
  <si>
    <t>Податки на власність</t>
  </si>
  <si>
    <t>Від органів державного управління</t>
  </si>
  <si>
    <t xml:space="preserve">Кошти, що надходять за взаємними розрахунками між місцевими бюджетами  </t>
  </si>
  <si>
    <t>Базова дотація</t>
  </si>
  <si>
    <t>Надходження бюджетних установ від додаткової (господарської) діяльності</t>
  </si>
  <si>
    <t>Державний бюджет</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</si>
  <si>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</si>
  <si>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Ліквідація іншого забруднення навколишнього природного середовища</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</si>
  <si>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</si>
  <si>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Плата за використання інших природних ресурсів</t>
  </si>
  <si>
    <t>Надання  пільгового довгострокового кредиту громадянам на будівництво (реконструкцію) та придбання житла</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</si>
  <si>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</si>
  <si>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</si>
  <si>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Навчання та трудове влаштування інвалідів</t>
  </si>
  <si>
    <t>Нерозподілені трансферти</t>
  </si>
  <si>
    <t>Податок на прибуток підприємств та фінансових установ комунальної власності</t>
  </si>
  <si>
    <t>Авансові внески з податку на прибуток підприємств та фінансових установ комунальної власності</t>
  </si>
  <si>
    <t>Здійснення заходів та реалізація проектів на виконання Державної цільової соціальної програми «Молодь України»</t>
  </si>
  <si>
    <t>5051</t>
  </si>
  <si>
    <t>5052</t>
  </si>
  <si>
    <t>Перший заступник голови обласної ради</t>
  </si>
  <si>
    <t>Надходження від сплати збору за забруднення навколишнього природного середовища фізичними особами</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</si>
  <si>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</si>
  <si>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комунальні послуги та енергоносії</t>
  </si>
  <si>
    <t>Субвенція за рахунок залишку коштів освітньої субвенції з державного бюджету місцевим бюджетам, що утворився на початок бюджетного періоду</t>
  </si>
  <si>
    <t>Надання позашкільної освіти позашкільними закладами освіти, заходи із позашкільної роботи з дітьми</t>
  </si>
  <si>
    <t>1011120</t>
  </si>
  <si>
    <t>Плата за надані в оренду ставки, що знаходяться в басейнах річок загальнодержавного значення</t>
  </si>
  <si>
    <t>Інші неподаткові надходження</t>
  </si>
  <si>
    <t>Інші надходження</t>
  </si>
  <si>
    <r>
      <t xml:space="preserve">Надходження для фінансового забезпечення реалізації заходів, визначених </t>
    </r>
    <r>
      <rPr>
        <b/>
        <i/>
        <sz val="12"/>
        <color indexed="12"/>
        <rFont val="Times New Roman"/>
        <family val="1"/>
        <charset val="204"/>
      </rPr>
      <t>пунктом 33 розділу VI "Прикінцеві та перехідні положення" Бюджетного кодексу України</t>
    </r>
    <r>
      <rPr>
        <b/>
        <i/>
        <sz val="12"/>
        <rFont val="Times New Roman"/>
        <family val="1"/>
        <charset val="204"/>
      </rPr>
      <t xml:space="preserve"> </t>
    </r>
  </si>
  <si>
    <t>Кошти, отримані місцевими бюджетами з державного бюджету</t>
  </si>
  <si>
    <t>Додаткова дотація з державного  бюджету місцевим бюджетам на оплату праці працівників бюджетних установ</t>
  </si>
  <si>
    <t>Лікарсько-акушерська допомога  вагітним, породіллям та новонародженим</t>
  </si>
  <si>
    <t>Видатки на поховання учасників бойових дій та інвалідів війни</t>
  </si>
  <si>
    <t>Сприяння розвитку малого та середнього підприємництва</t>
  </si>
  <si>
    <t xml:space="preserve">Розміщення бюджетних коштів на депозитах </t>
  </si>
  <si>
    <t>Освітня субвенція з державного бюджету місцевим бюджетам</t>
  </si>
  <si>
    <t>Медична субвенція з державного бюджету місцевим бюджетам</t>
  </si>
  <si>
    <t>Надання кредитів</t>
  </si>
  <si>
    <t>Повернення кредитів</t>
  </si>
  <si>
    <t>5033</t>
  </si>
  <si>
    <t>з них:</t>
  </si>
  <si>
    <t>Надходження коштів від відшкодування втрат сільськогосподарського і лісогосподарського виробництва</t>
  </si>
  <si>
    <t>Надходження від орендної плати за користування цілісним майновим комплексом та іншим державним майном</t>
  </si>
  <si>
    <t>Додаткова дотація з державного бюджету місцевим бюджетам на поліпшення умов оплати праці медпрацівників, які надають медичну допомогу хворим на заразну та активну форми туберкульозу</t>
  </si>
  <si>
    <t>оплата праці</t>
  </si>
  <si>
    <t>Фінансування за активними операціями</t>
  </si>
  <si>
    <t>Офіційні трансферти</t>
  </si>
  <si>
    <t>Кошти, що передаються із загального фонду бюджету до бюджету розвитку (спеціального фонду)</t>
  </si>
  <si>
    <t>На початок періоду</t>
  </si>
  <si>
    <t>На кінець періоду</t>
  </si>
  <si>
    <t>1000000</t>
  </si>
  <si>
    <t>1010000</t>
  </si>
  <si>
    <t>з них</t>
  </si>
  <si>
    <t>бюджет розвитку</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</si>
  <si>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</si>
  <si>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</si>
  <si>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Субвенція з державного бюджету місцевим бюджетам на соціально-економічний розвиток</t>
  </si>
  <si>
    <t>Фінансова підтримка дитячо-юнацьких спортивних шкіл фізкультурно-спортивних товариств</t>
  </si>
  <si>
    <t>1731</t>
  </si>
  <si>
    <t>в тому числі:</t>
  </si>
  <si>
    <t>Резервний фонд</t>
  </si>
  <si>
    <t xml:space="preserve">  </t>
  </si>
  <si>
    <t>4020</t>
  </si>
  <si>
    <t>0821</t>
  </si>
  <si>
    <t>4030</t>
  </si>
  <si>
    <t>0822</t>
  </si>
  <si>
    <t>0829</t>
  </si>
  <si>
    <t>0830</t>
  </si>
  <si>
    <t>0490</t>
  </si>
  <si>
    <t>3000000</t>
  </si>
  <si>
    <t>3010000</t>
  </si>
  <si>
    <t>Надходження бюджетних установ від реалізації в установленому порядку майна (крім нерухомого майна)</t>
  </si>
  <si>
    <t>Субвенція з державного бюджету місцевим бюджетам на реалізацію пріоритетів розвитку регіонів</t>
  </si>
  <si>
    <t>Адміністративні збори та платежі, доходи від некомерційної господарської діяльності</t>
  </si>
  <si>
    <t>Плата за надання адміністративних послуг</t>
  </si>
  <si>
    <t>0990</t>
  </si>
  <si>
    <t>5022</t>
  </si>
  <si>
    <t>0810</t>
  </si>
  <si>
    <t>Заходи державної політики із забезпечення рівних прав та можливостей жінок та чоловіків</t>
  </si>
  <si>
    <t>Плата за ліцензії на право експорту, імпорту алкогольними напоями та тютюновими виробами</t>
  </si>
  <si>
    <t>Додаток 5</t>
  </si>
  <si>
    <t>Додаток 6</t>
  </si>
  <si>
    <t>Додаток  7</t>
  </si>
  <si>
    <t xml:space="preserve">Додаток  2 </t>
  </si>
  <si>
    <t>Додаток  3</t>
  </si>
  <si>
    <t>Додаток  4</t>
  </si>
  <si>
    <t>Плата за державну реєстрацію (крім реєстраційного збору за проведення державної реєстрації юридичних осіб та фізичних осіб-підприємців та громадських формувань)</t>
  </si>
  <si>
    <t>Заходи з організації рятування на водах</t>
  </si>
  <si>
    <t>Плата за послуги, що надаються бюджетними установами згідно з їх основною діяльністю</t>
  </si>
  <si>
    <t>Зміни обсягів депозитів і цінних паперів, що використовуються для управління ліквідністю</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</si>
  <si>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</si>
  <si>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</si>
  <si>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</si>
  <si>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Інші джерела власних надходжень бюджетних установ</t>
  </si>
  <si>
    <t>Повернення бюджетних коштів з депозитів</t>
  </si>
  <si>
    <r>
      <t>Кошти, що надходять з інших бюджетів</t>
    </r>
    <r>
      <rPr>
        <sz val="12"/>
        <color indexed="8"/>
        <rFont val="Times New Roman"/>
        <family val="1"/>
        <charset val="204"/>
      </rPr>
      <t xml:space="preserve">  </t>
    </r>
  </si>
  <si>
    <t>Управління екології та природних ресурсів Житомирської обласної державної адміністрації</t>
  </si>
  <si>
    <t>1100000</t>
  </si>
  <si>
    <t>1110000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</si>
  <si>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</si>
  <si>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</si>
  <si>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</si>
  <si>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3111</t>
  </si>
  <si>
    <t>3131</t>
  </si>
  <si>
    <t>3133</t>
  </si>
  <si>
    <t>3140</t>
  </si>
  <si>
    <t>3160</t>
  </si>
  <si>
    <t>5011</t>
  </si>
  <si>
    <t>5012</t>
  </si>
  <si>
    <t>5021</t>
  </si>
  <si>
    <t>5031</t>
  </si>
  <si>
    <t>5032</t>
  </si>
  <si>
    <t>Надходження рентної плати за спеціальне використання води від підприємств житлово-комунального господарства</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</si>
  <si>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</si>
  <si>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1011140</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</si>
  <si>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</si>
  <si>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Проведення навчально-тренувальних зборів і змагань з неолімпійських видів спорту</t>
  </si>
  <si>
    <t xml:space="preserve"> </t>
  </si>
  <si>
    <t>до рішення обласної ради</t>
  </si>
  <si>
    <t>Внутрішнє фінансування</t>
  </si>
  <si>
    <t>0320</t>
  </si>
  <si>
    <t>0456</t>
  </si>
  <si>
    <t>0421</t>
  </si>
  <si>
    <t>7340</t>
  </si>
  <si>
    <t>9130</t>
  </si>
  <si>
    <t>0513</t>
  </si>
  <si>
    <t>0540</t>
  </si>
  <si>
    <t>7450</t>
  </si>
  <si>
    <t>0411</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</si>
  <si>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</si>
  <si>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</si>
  <si>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</si>
  <si>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</si>
  <si>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</si>
  <si>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</si>
  <si>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</si>
  <si>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</si>
  <si>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</si>
  <si>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</si>
  <si>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</si>
  <si>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</si>
  <si>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Запобігання та ліквідація забруднення навколишнього природного середовища</t>
  </si>
  <si>
    <t>0119800</t>
  </si>
  <si>
    <t>9800</t>
  </si>
  <si>
    <t>Субвенція з місцевого бюджету державному бюджету на виконання програм соціально-економічного розвитку регіонів</t>
  </si>
  <si>
    <t>0110180</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</si>
  <si>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</si>
  <si>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</si>
  <si>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</si>
  <si>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</si>
  <si>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</si>
  <si>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</si>
  <si>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</si>
  <si>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0211140</t>
  </si>
  <si>
    <t>0210180</t>
  </si>
  <si>
    <t>0219800</t>
  </si>
  <si>
    <t>0600000</t>
  </si>
  <si>
    <t>0610000</t>
  </si>
  <si>
    <t>0611070</t>
  </si>
  <si>
    <t>0611090</t>
  </si>
  <si>
    <t>0611120</t>
  </si>
  <si>
    <t>0611140</t>
  </si>
  <si>
    <t>1110</t>
  </si>
  <si>
    <t xml:space="preserve">Підготовка кадрів вищими навчальними закладами І-ІІ рівнів акредитації (коледжами, технікумами, училищами) </t>
  </si>
  <si>
    <t>Інші програми та заходи у сфері освіти</t>
  </si>
  <si>
    <t>0619320</t>
  </si>
  <si>
    <t>9320</t>
  </si>
  <si>
    <t>Субвенція з місцевого бюджету за рахунок залишку коштів освітньої субвенції, що утворився на початок бюджетного періоду</t>
  </si>
  <si>
    <t>0619330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</si>
  <si>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</si>
  <si>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0700000</t>
  </si>
  <si>
    <t>0710000</t>
  </si>
  <si>
    <t>0711120</t>
  </si>
  <si>
    <t>0712010</t>
  </si>
  <si>
    <t>0712030</t>
  </si>
  <si>
    <t>0712050</t>
  </si>
  <si>
    <t>0712060</t>
  </si>
  <si>
    <t>0712090</t>
  </si>
  <si>
    <t>0712100</t>
  </si>
  <si>
    <t>0712130</t>
  </si>
  <si>
    <t>0712020</t>
  </si>
  <si>
    <t>2020</t>
  </si>
  <si>
    <t>0712070</t>
  </si>
  <si>
    <t>2070</t>
  </si>
  <si>
    <t>Стоматологічна допомога населенню</t>
  </si>
  <si>
    <t>0712151</t>
  </si>
  <si>
    <t>2151</t>
  </si>
  <si>
    <t>Забезпечення діяльності інших закладів у сфері охорони здоров’я</t>
  </si>
  <si>
    <t>0712143</t>
  </si>
  <si>
    <t>2143</t>
  </si>
  <si>
    <t>0712144</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</si>
  <si>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</si>
  <si>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</si>
  <si>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</si>
  <si>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</si>
  <si>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</si>
  <si>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</si>
  <si>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</si>
  <si>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0719410</t>
  </si>
  <si>
    <t>9410</t>
  </si>
  <si>
    <t>Субвенція з місцевого бюджету на здійснення переданих видатків у сфері охорони здоров’я за рахунок коштів медичної субвенції</t>
  </si>
  <si>
    <t>0719420</t>
  </si>
  <si>
    <t>9420</t>
  </si>
  <si>
    <t>Субвенція з місцевого бюджету за рахунок залишку коштів медичної субвенції, що утворився на початок бюджетного періоду</t>
  </si>
  <si>
    <t>0719460</t>
  </si>
  <si>
    <t>9460</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</si>
  <si>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</si>
  <si>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0719770</t>
  </si>
  <si>
    <t xml:space="preserve">Інші субвенції з місцевого бюджету </t>
  </si>
  <si>
    <t>0712040</t>
  </si>
  <si>
    <t>2040</t>
  </si>
  <si>
    <t>Санаторно-курортна допомога населенню</t>
  </si>
  <si>
    <t>0800000</t>
  </si>
  <si>
    <t>0810000</t>
  </si>
  <si>
    <t>0813050</t>
  </si>
  <si>
    <t>0813090</t>
  </si>
  <si>
    <t>0813101</t>
  </si>
  <si>
    <t>0813102</t>
  </si>
  <si>
    <t>0813103</t>
  </si>
  <si>
    <t>0813105</t>
  </si>
  <si>
    <t xml:space="preserve">Надання реабілітаційних послуг особам з інвалідністю та дітям з інвалідністю </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</si>
  <si>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</si>
  <si>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</si>
  <si>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</si>
  <si>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</si>
  <si>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</si>
  <si>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</si>
  <si>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</si>
  <si>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0813200</t>
  </si>
  <si>
    <t>0813242</t>
  </si>
  <si>
    <t>0813241</t>
  </si>
  <si>
    <t>3241</t>
  </si>
  <si>
    <t>Забезпечення діяльності інших закладів у сфері соціального захисту і соціального забезпечення</t>
  </si>
  <si>
    <t>0813221</t>
  </si>
  <si>
    <t>3221</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</si>
  <si>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</si>
  <si>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0819800</t>
  </si>
  <si>
    <t xml:space="preserve">Субвенція з місцевого бюджету державному бюджету на виконання програм соціально-економічного розвитку регіонів </t>
  </si>
  <si>
    <t>0900000</t>
  </si>
  <si>
    <t>0910000</t>
  </si>
  <si>
    <t>0913111</t>
  </si>
  <si>
    <t>0913112</t>
  </si>
  <si>
    <t>0913131</t>
  </si>
  <si>
    <t>0919770</t>
  </si>
  <si>
    <t>1014020</t>
  </si>
  <si>
    <t>1014030</t>
  </si>
  <si>
    <t>1014010</t>
  </si>
  <si>
    <t>4010</t>
  </si>
  <si>
    <t>Фінансова підтримка театрів</t>
  </si>
  <si>
    <t>Фінансова підтримка фiлармонiй, художніх і музичних колективів, ансамблів, концертних та циркових організацій</t>
  </si>
  <si>
    <t>1014040</t>
  </si>
  <si>
    <t>4040</t>
  </si>
  <si>
    <t>Забезпечення діяльності музеїв i виставок</t>
  </si>
  <si>
    <t>1017424</t>
  </si>
  <si>
    <t>7424</t>
  </si>
  <si>
    <t>0443</t>
  </si>
  <si>
    <r>
      <t>Будівництво</t>
    </r>
    <r>
      <rPr>
        <i/>
        <vertAlign val="superscript"/>
        <sz val="12"/>
        <rFont val="Times New Roman"/>
        <family val="1"/>
        <charset val="204"/>
      </rPr>
      <t>1</t>
    </r>
    <r>
      <rPr>
        <i/>
        <sz val="12"/>
        <rFont val="Times New Roman"/>
        <family val="1"/>
        <charset val="204"/>
      </rPr>
      <t xml:space="preserve"> установ та закладів культури</t>
    </r>
  </si>
  <si>
    <t>1017340</t>
  </si>
  <si>
    <t>Проектування, реставрація та охорона пам'яток архітектури</t>
  </si>
  <si>
    <t>1018410</t>
  </si>
  <si>
    <t>8410</t>
  </si>
  <si>
    <t>Фінансова підтримка засобів масової інформації</t>
  </si>
  <si>
    <t>3121</t>
  </si>
  <si>
    <t>Утримання та забезпечення діяльності центрів соціальних служб для сім’ї, дітей та молоді</t>
  </si>
  <si>
    <t>3122</t>
  </si>
  <si>
    <t>3123</t>
  </si>
  <si>
    <t>Забезпечення підготовки спортсменів школами вищої спортивної майстерності</t>
  </si>
  <si>
    <t>8821</t>
  </si>
  <si>
    <t>Надання кредиту</t>
  </si>
  <si>
    <t>6084</t>
  </si>
  <si>
    <t>0610</t>
  </si>
  <si>
    <t>1600000</t>
  </si>
  <si>
    <t>1610000</t>
  </si>
  <si>
    <t>1611070</t>
  </si>
  <si>
    <t>1611120</t>
  </si>
  <si>
    <t>1611140</t>
  </si>
  <si>
    <t>1612010</t>
  </si>
  <si>
    <t>1612030</t>
  </si>
  <si>
    <t>1613101</t>
  </si>
  <si>
    <t>1613102</t>
  </si>
  <si>
    <t>1613103</t>
  </si>
  <si>
    <t>1613111</t>
  </si>
  <si>
    <t>1615031</t>
  </si>
  <si>
    <t>1612020</t>
  </si>
  <si>
    <t>1612040</t>
  </si>
  <si>
    <t>1612100</t>
  </si>
  <si>
    <t>Лікарсько-акушерська допомога вагітним, породіллям та новонародженим</t>
  </si>
  <si>
    <t>1614030</t>
  </si>
  <si>
    <t>1614040</t>
  </si>
  <si>
    <t>1617321</t>
  </si>
  <si>
    <t>7321</t>
  </si>
  <si>
    <r>
      <t>Будівництво</t>
    </r>
    <r>
      <rPr>
        <i/>
        <vertAlign val="superscript"/>
        <sz val="8"/>
        <rFont val="Times New Roman"/>
        <family val="1"/>
        <charset val="204"/>
      </rPr>
      <t>1</t>
    </r>
    <r>
      <rPr>
        <i/>
        <sz val="8"/>
        <rFont val="Times New Roman"/>
        <family val="1"/>
        <charset val="204"/>
      </rPr>
      <t xml:space="preserve"> </t>
    </r>
    <r>
      <rPr>
        <i/>
        <sz val="14"/>
        <rFont val="Times New Roman"/>
        <family val="1"/>
        <charset val="204"/>
      </rPr>
      <t>освітніх установ та закладів</t>
    </r>
  </si>
  <si>
    <t>1617322</t>
  </si>
  <si>
    <t>7322</t>
  </si>
  <si>
    <r>
      <t>Будівництво</t>
    </r>
    <r>
      <rPr>
        <i/>
        <vertAlign val="superscript"/>
        <sz val="12"/>
        <rFont val="Times New Roman"/>
        <family val="1"/>
        <charset val="204"/>
      </rPr>
      <t>1</t>
    </r>
    <r>
      <rPr>
        <i/>
        <sz val="12"/>
        <rFont val="Times New Roman"/>
        <family val="1"/>
        <charset val="204"/>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</si>
  <si>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</si>
  <si>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</si>
  <si>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</si>
  <si>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</si>
  <si>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</si>
  <si>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</si>
  <si>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</si>
  <si>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</si>
  <si>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</si>
  <si>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</si>
  <si>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</si>
  <si>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</si>
  <si>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</si>
  <si>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</si>
  <si>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</si>
  <si>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</si>
  <si>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</si>
  <si>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</si>
  <si>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</si>
  <si>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2717610</t>
  </si>
  <si>
    <t>2717693</t>
  </si>
  <si>
    <t>7693</t>
  </si>
  <si>
    <t>2800000</t>
  </si>
  <si>
    <t>2810000</t>
  </si>
  <si>
    <t>2818311</t>
  </si>
  <si>
    <t>2818312</t>
  </si>
  <si>
    <t>2818313</t>
  </si>
  <si>
    <t>8313</t>
  </si>
  <si>
    <t>3018110</t>
  </si>
  <si>
    <t>8110</t>
  </si>
  <si>
    <t>7440</t>
  </si>
  <si>
    <t>Утримання та розвиток транспортної інфраструктури</t>
  </si>
  <si>
    <t xml:space="preserve">Інша діяльність у сфері транспорту </t>
  </si>
  <si>
    <t>3710000</t>
  </si>
  <si>
    <t>3700000</t>
  </si>
  <si>
    <t>3718700</t>
  </si>
  <si>
    <t>8700</t>
  </si>
  <si>
    <t>3719120</t>
  </si>
  <si>
    <t xml:space="preserve">Дотація з місцевого бюджету за рахунок стабілізаційної дотації з державного бюджету </t>
  </si>
  <si>
    <t>3719230</t>
  </si>
  <si>
    <t>9230</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</si>
  <si>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</si>
  <si>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3719220</t>
  </si>
  <si>
    <t>9220</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</si>
  <si>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</si>
  <si>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3719210</t>
  </si>
  <si>
    <t>9210</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</si>
  <si>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</si>
  <si>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3719800</t>
  </si>
  <si>
    <t>3719540</t>
  </si>
  <si>
    <t>9540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</si>
  <si>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</si>
  <si>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9250</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</si>
  <si>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</si>
  <si>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3719250</t>
  </si>
  <si>
    <t>9620</t>
  </si>
  <si>
    <t>3719620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</si>
  <si>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</si>
  <si>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9241</t>
  </si>
  <si>
    <t>3719241</t>
  </si>
  <si>
    <t xml:space="preserve">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</si>
  <si>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3719320</t>
  </si>
  <si>
    <t>3719770</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</si>
  <si>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</si>
  <si>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</si>
  <si>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</si>
  <si>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</si>
  <si>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</si>
  <si>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1130</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</si>
  <si>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</si>
  <si>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</si>
  <si>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</si>
  <si>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</si>
  <si>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</si>
  <si>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</si>
  <si>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06501000000</t>
  </si>
  <si>
    <t>06502000000</t>
  </si>
  <si>
    <t>06503000000</t>
  </si>
  <si>
    <t>06504000000</t>
  </si>
  <si>
    <t>06505000000</t>
  </si>
  <si>
    <t>06506000000</t>
  </si>
  <si>
    <t>06507000000</t>
  </si>
  <si>
    <t>06508000000</t>
  </si>
  <si>
    <t>06509000000</t>
  </si>
  <si>
    <t>06510000000</t>
  </si>
  <si>
    <t>06511000000</t>
  </si>
  <si>
    <t>06512000000</t>
  </si>
  <si>
    <t>06513000000</t>
  </si>
  <si>
    <t>06514000000</t>
  </si>
  <si>
    <t>06515000000</t>
  </si>
  <si>
    <t>06516000000</t>
  </si>
  <si>
    <t>06517000000</t>
  </si>
  <si>
    <t>06518000000</t>
  </si>
  <si>
    <t>06519000000</t>
  </si>
  <si>
    <t>06520000000</t>
  </si>
  <si>
    <t>06521000000</t>
  </si>
  <si>
    <t>06522000000</t>
  </si>
  <si>
    <t>06523000000</t>
  </si>
  <si>
    <t>06524000000</t>
  </si>
  <si>
    <t>06526000000</t>
  </si>
  <si>
    <t>06527000000</t>
  </si>
  <si>
    <t>06528000000</t>
  </si>
  <si>
    <t>06529000000</t>
  </si>
  <si>
    <t>06530000000</t>
  </si>
  <si>
    <t>06531000000</t>
  </si>
  <si>
    <t>06532000000</t>
  </si>
  <si>
    <t>06533000000</t>
  </si>
  <si>
    <t>06534000000</t>
  </si>
  <si>
    <t>06535000000</t>
  </si>
  <si>
    <t>06536000000</t>
  </si>
  <si>
    <t>06537000000</t>
  </si>
  <si>
    <t>06538000000</t>
  </si>
  <si>
    <t>06539000000</t>
  </si>
  <si>
    <t>06542000000</t>
  </si>
  <si>
    <t>06543000000</t>
  </si>
  <si>
    <t>06544000000</t>
  </si>
  <si>
    <t>06545000000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</si>
  <si>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</si>
  <si>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</si>
  <si>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</si>
  <si>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</si>
  <si>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</si>
  <si>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</si>
  <si>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0619770</t>
  </si>
  <si>
    <t>0819770</t>
  </si>
  <si>
    <t>0919270</t>
  </si>
  <si>
    <t>9270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</si>
  <si>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</si>
  <si>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1014082</t>
  </si>
  <si>
    <t>4082</t>
  </si>
  <si>
    <t>1018420</t>
  </si>
  <si>
    <t>8420</t>
  </si>
  <si>
    <t>Інші заходи у сфері засобів масової інформації</t>
  </si>
  <si>
    <t>1017622</t>
  </si>
  <si>
    <t>7622</t>
  </si>
  <si>
    <t>Реалізація програм і заходів в галузі туризму та курортів</t>
  </si>
  <si>
    <t>0470</t>
  </si>
  <si>
    <t>Інші заходи та заклади молодіжної політики</t>
  </si>
  <si>
    <t>1617310</t>
  </si>
  <si>
    <t>7310</t>
  </si>
  <si>
    <r>
      <t>Будівництво</t>
    </r>
    <r>
      <rPr>
        <vertAlign val="superscript"/>
        <sz val="12"/>
        <rFont val="Times New Roman"/>
        <family val="1"/>
        <charset val="204"/>
      </rPr>
      <t>1</t>
    </r>
    <r>
      <rPr>
        <sz val="12"/>
        <rFont val="Times New Roman"/>
        <family val="1"/>
        <charset val="204"/>
      </rPr>
      <t xml:space="preserve"> об'єктів житлово-комунального господарства</t>
    </r>
  </si>
  <si>
    <t>1617325</t>
  </si>
  <si>
    <t>7325</t>
  </si>
  <si>
    <t>1617370</t>
  </si>
  <si>
    <t>7370</t>
  </si>
  <si>
    <t>Реалізація інших заходів щодо соціально-економічного розвитку територій</t>
  </si>
  <si>
    <t>1617640</t>
  </si>
  <si>
    <t>7640</t>
  </si>
  <si>
    <t>Заходи з енергозбереження</t>
  </si>
  <si>
    <t>2310180</t>
  </si>
  <si>
    <t>2717350</t>
  </si>
  <si>
    <t>7350</t>
  </si>
  <si>
    <t>Розроблення схем планування та забудови територій (містобудівної документації)</t>
  </si>
  <si>
    <t>3018120</t>
  </si>
  <si>
    <t>Утримання та розвиток автомобільних доріг та дорожньої інфраструктури за рахунок коштів місцевого бюджету</t>
  </si>
  <si>
    <t>0619310</t>
  </si>
  <si>
    <t>9310</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</si>
  <si>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</si>
  <si>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</si>
  <si>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</si>
  <si>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</si>
  <si>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</si>
  <si>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</si>
  <si>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Утримання та розвиток автомобільних доріг та дорожньої інфраструктури за рахунок субвенції з  державного бюджету</t>
  </si>
  <si>
    <t>Інші заходи в галузі культури і мистецтва</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</si>
  <si>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</si>
  <si>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на пільгове медичне обслуговування осіб, які постраждали внаслідок Чорнобильської катастрофи</t>
  </si>
  <si>
    <t>на виконання Регіональної (комплексної) цільової соціальної Програми забезпечення житлом дітей-сиріт, дітей, позбавлених батьківського піклування, та осіб з їх числа на 2018-2022 роки</t>
  </si>
  <si>
    <t>2313242</t>
  </si>
  <si>
    <t>3242</t>
  </si>
  <si>
    <t>7324</t>
  </si>
  <si>
    <t>1017324</t>
  </si>
  <si>
    <t>Підготовка кадрів професійно-технічними закладами та іншими закладами освіти</t>
  </si>
  <si>
    <t>Екстрена та швидка медична допомога населенню</t>
  </si>
  <si>
    <t>Видатки на поховання учасників бойових дій та осіб з інвалідністю внаслідок війни</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</si>
  <si>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</si>
  <si>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Навчання та трудове влаштування осіб з інвалідністю</t>
  </si>
  <si>
    <t>Встановлення телефонів особам з інвалідністю I і II груп</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</si>
  <si>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</si>
  <si>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</si>
  <si>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Заходи із запобігання та ліквідації надзвичайних ситуацій та наслідків стихійного лиха</t>
  </si>
  <si>
    <t>Будівництво об'єктів житлово-комунального господарства</t>
  </si>
  <si>
    <t>Комплексна Програма оздоровлення та відпочинку дітей на 2016-2020 роки, рішення обласної ради від 26.01.2016 №110, зі змінами</t>
  </si>
  <si>
    <t>Обласна комплексна програма соціального захисту осіб з інвалідністю, ветеранів війни та праці, пенсіонерів та незахищених верств населення Житомирської області на 2018-2022 роки</t>
  </si>
  <si>
    <t>Програма соціального захисту громадян, які постраждали внаслідок Чорнобильської катастрофи, на 2017-2021 роки</t>
  </si>
  <si>
    <t>Обласна Програма сприяння культурно-мистецькому розвитку області на 2015-2020 роки</t>
  </si>
  <si>
    <t>Обласна програма охорони та збереження культурної спадщини на 2017-2018 роки, рішення обласної ради від 22.12.2016 № 406</t>
  </si>
  <si>
    <t>Програма забезпечення діяльності Центру допомоги учасникам АТО на 2016-2018 роки, рішення обласної ради від 31.03.2016 №206</t>
  </si>
  <si>
    <t>8831</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</si>
  <si>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</si>
  <si>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</si>
  <si>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Реконструкція з розширенням музею космонавтики ім. С.П.Корольова по вул.Дмитрівській, 2 в м. Житомирі</t>
  </si>
  <si>
    <t>1917440</t>
  </si>
  <si>
    <t>1617361</t>
  </si>
  <si>
    <t>7361</t>
  </si>
  <si>
    <t>Співфінансування інвестиційних проектів, що реалізуються за рахунок коштів державного фонду регіонального розвитку</t>
  </si>
  <si>
    <t>2717370</t>
  </si>
  <si>
    <t>Програма економічного і соціального розвитку Житомирської області на 2018 рік, рішення обласної ради від 21.12.2017 № 868</t>
  </si>
  <si>
    <t>Програма економічного і соціального розвитку Житомирської області на 2018 рік, рішення обласної ради від  № 868</t>
  </si>
  <si>
    <t>7700</t>
  </si>
  <si>
    <t>Реалізація програм допомоги і грантів Європейського Союзу, урядів іноземних держав, міжнародних організацій, донорських установ</t>
  </si>
  <si>
    <t>Про зарахування коштів до обласного бюджету, рішення обласної ради від 24.12.2015 № 37</t>
  </si>
  <si>
    <t>0813192</t>
  </si>
  <si>
    <t>Обласна комплексна програма соціального захисту осіб з інвалідністю, ветеранів війни та праці, пенсіонерів учасників і ветеранів визвольних змагань (ОУН-УПА) та незахищених верств населення на 2018-2022 роки</t>
  </si>
  <si>
    <t>1614081</t>
  </si>
  <si>
    <t>Забезпечення діяльності інших закладів в галузі культури і мистецтва</t>
  </si>
  <si>
    <t>1614082</t>
  </si>
  <si>
    <t>Інші заклади в галузі культури і мистецтва</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</si>
  <si>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</si>
  <si>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</si>
  <si>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</si>
  <si>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</si>
  <si>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</si>
  <si>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</si>
  <si>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</si>
  <si>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</si>
  <si>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</si>
  <si>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t>
  </si>
  <si>
    <t>Обласна програма розвитку футболу на 2018-2020 роки</t>
  </si>
  <si>
    <t>Виконання інвестиційних проектів в рамках реалізації заходів, спрямованих на розвиток системи охорони здоров'я у сільській місцевості</t>
  </si>
  <si>
    <t>Будівництво очисних споруд каналізації в м. Андрушівка</t>
  </si>
  <si>
    <t>Будівництво очисних споруд каналізації в м. Андрушівка (пусконалагоджувальні  роботи 1-го етапу)</t>
  </si>
  <si>
    <t>Технічне переоснащення із заміною аварійного обладнання КНС № 3 по вул. І. Франка та заміна частини напірного колектора по вул. Клубна в м. Андрушівка</t>
  </si>
  <si>
    <t>Реконструкція та технічне переобладнання очисних споруд господарсько-побутових стічних вод у м. Овруч</t>
  </si>
  <si>
    <t>Реконструкція та технічне переобладнання очисних споруд господарсько-побутових стічних вод у м.Овруч (пусконалагоджувальні роботи)</t>
  </si>
  <si>
    <t>Реконструкція очисних споруд каналізації КП «Черняхів-Добробут» по вул. Індустріальній в смт Черняхів Житомирської області</t>
  </si>
  <si>
    <t>Реконструкція очисних споруд каналізації КП «Черняхів-Добробут» по вул. Індустріальній в смт Черняхів Житомирської області (пусконалагоджувальні  роботи)</t>
  </si>
  <si>
    <t>контроль</t>
  </si>
  <si>
    <t xml:space="preserve">Субвенції з державного бюджету місцевим бюджетам </t>
  </si>
  <si>
    <t xml:space="preserve">Дотації  з державного бюджету місцевим бюджетам </t>
  </si>
  <si>
    <t xml:space="preserve">Будівництво інших об"єктів соціальної та виробничої інфраструктури комунальної власності </t>
  </si>
  <si>
    <t>Додаток 5.2</t>
  </si>
  <si>
    <t>Надання фінансової підтримки громадським організаціям ветеранів і осіб з інвалідністю, діяльність яких має соціальну спрямованість</t>
  </si>
  <si>
    <t>Субвенції з місцевих бюджетів іншим місцевим бюджетам</t>
  </si>
  <si>
    <t>Назва програми / призначення субвенції</t>
  </si>
  <si>
    <t>2.</t>
  </si>
  <si>
    <t>1.</t>
  </si>
  <si>
    <t xml:space="preserve"> , , </t>
  </si>
  <si>
    <t>Обласна комплексна Програма забезпечення пожежної та техногенної безпеки, захисту населення і територій Житомирської області від надзвичайних ситуацій на 2016-2020 роки</t>
  </si>
  <si>
    <t>Програми і централізовані заходи профілактики ВІЛ-інфекції/СНІДу</t>
  </si>
  <si>
    <t>Програма матеріально-технічного забезпечення четвертого батальйону територіальної оборони Житомирської області та Житомирського обласного військового комісаріату  на 2018-2020 роки, рішення обласної ради від 21.12.2017 № 876</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</si>
  <si>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</si>
  <si>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</si>
  <si>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Департамент агропромислового розвитку та економічної політики Житомирської обласної державної адміністрації</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</si>
  <si>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</si>
  <si>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0619350</t>
  </si>
  <si>
    <t>2717110</t>
  </si>
  <si>
    <t>2717120</t>
  </si>
  <si>
    <t>2718831</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</si>
  <si>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</si>
  <si>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0813111</t>
  </si>
  <si>
    <t>0813121</t>
  </si>
  <si>
    <t>0813122</t>
  </si>
  <si>
    <t>0813123</t>
  </si>
  <si>
    <t>0819241</t>
  </si>
  <si>
    <t>2819740</t>
  </si>
  <si>
    <t>9740</t>
  </si>
  <si>
    <t>Управління національно-патріотичного виховання, молоді та спорту Житомирської обласної державної адміністрації</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</si>
  <si>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Києві, а також дорожньої інфраструктури у м. Києві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</si>
  <si>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</si>
  <si>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0813223</t>
  </si>
  <si>
    <t>3223</t>
  </si>
  <si>
    <t>0819243</t>
  </si>
  <si>
    <t>9243</t>
  </si>
  <si>
    <t>0813048</t>
  </si>
  <si>
    <t>3048</t>
  </si>
  <si>
    <t>Надання при народженні дитини одноразової натуральної допомоги «пакунок малюка»</t>
  </si>
  <si>
    <t>0117693</t>
  </si>
  <si>
    <t>1612070</t>
  </si>
  <si>
    <t>0819242</t>
  </si>
  <si>
    <t>9242</t>
  </si>
  <si>
    <t>1611080</t>
  </si>
  <si>
    <t>3718500</t>
  </si>
  <si>
    <t>8500</t>
  </si>
  <si>
    <t>Нерозподілені трансферти з державного бюджету</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</si>
  <si>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</si>
  <si>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</si>
  <si>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1117325</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</si>
  <si>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</si>
  <si>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</si>
  <si>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</si>
  <si>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0813140</t>
  </si>
  <si>
    <t>1611090</t>
  </si>
  <si>
    <t>1611130</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</si>
  <si>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</si>
  <si>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</si>
  <si>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(грн)</t>
  </si>
  <si>
    <t>Найменування згідно з Класифікацією доходів бюджету</t>
  </si>
  <si>
    <t>Усього</t>
  </si>
  <si>
    <t>Усього:</t>
  </si>
  <si>
    <t>Кредитування - Усього</t>
  </si>
  <si>
    <t>Разом доходів</t>
  </si>
  <si>
    <t>Найменування згідно з Класифікацією фінансування бюджету</t>
  </si>
  <si>
    <t>усього</t>
  </si>
  <si>
    <t>Фінансування за типом кредитора</t>
  </si>
  <si>
    <t>Х</t>
  </si>
  <si>
    <t>Фінансування за типом боргового зобов"язання</t>
  </si>
  <si>
    <t>Загальне фінансування</t>
  </si>
  <si>
    <t>Розподіл</t>
  </si>
  <si>
    <t>Код Функціональної класифікації видатків та кредитування бюджету</t>
  </si>
  <si>
    <t>у тому числі бюджет розвитку</t>
  </si>
  <si>
    <t>разом</t>
  </si>
  <si>
    <t>УСЬОГО</t>
  </si>
  <si>
    <t>Найменування місцевої /регіональної програми</t>
  </si>
  <si>
    <t>Дата та номер документа, яким затверджено місцеву регіональну програму</t>
  </si>
  <si>
    <r>
      <t>Будівництво</t>
    </r>
    <r>
      <rPr>
        <i/>
        <vertAlign val="superscript"/>
        <sz val="14"/>
        <color indexed="8"/>
        <rFont val="Times New Roman"/>
        <family val="1"/>
        <charset val="204"/>
      </rPr>
      <t>1</t>
    </r>
    <r>
      <rPr>
        <i/>
        <sz val="14"/>
        <color indexed="8"/>
        <rFont val="Times New Roman"/>
        <family val="1"/>
        <charset val="204"/>
      </rPr>
      <t xml:space="preserve"> споруд, установ та закладів фізичної культури і спорту</t>
    </r>
  </si>
  <si>
    <t>Обласна комплексна програма соціального захисту осіб з інвалідністю, ветеранів війни та праці, пенсіонерів учасників і ветеранів визвольних змагань (ОУН-УПА) та незахищених верств населення на Житомирської області на 2018-2022 роки</t>
  </si>
  <si>
    <t>Рішення обласної ради від 26.07.2018 № 1130</t>
  </si>
  <si>
    <t>Обласна програма виконання заходів Державної соціальної програми  "Національний план дій щодо реалізації Конвенції ООН про права дитини"  на період до 2021 року</t>
  </si>
  <si>
    <t>Регіональна  (комплексна) цільова соціальна Програма забезпечення житлом дітей-сиріт, дітей, позбавлених батьківського піклування, та осіб з їх числа на 2018-2022 роки</t>
  </si>
  <si>
    <t>Рішення обласної ради від 02.11.2017 №776</t>
  </si>
  <si>
    <t>Обласна комплексна Програма розвитку фізичної культури і спорту на 2017-2020 роки</t>
  </si>
  <si>
    <t>Рішення обласної ради від 22.12.2016 №418, зі змінами</t>
  </si>
  <si>
    <t>Рішення обласної ради від 31.05.2018 № 1021</t>
  </si>
  <si>
    <t>Рішення обласної ради від 07.03.2018 №949</t>
  </si>
  <si>
    <t>Програма економічного і соціального розвитку Житомирської області на 2019 рік</t>
  </si>
  <si>
    <t>Програма забезпечення депутатської діяльності, проведення конкурсів та нагород обласної ради на 2019 рік</t>
  </si>
  <si>
    <t>Програма підтримки органів місцевого самоврядування та сприяння реалізації ініційованих ними проектів, спрямованих на соціально-економічний розвиток Житомирської області, на 2018-2020 роки</t>
  </si>
  <si>
    <t>Рішення обласної ради від 21.12.2017 № 877</t>
  </si>
  <si>
    <t>Регіональна програма інформатизації
на 2017 – 2019 роки</t>
  </si>
  <si>
    <t>Рішення обласної ради від 22.12.2016 №419</t>
  </si>
  <si>
    <t>Рішення обласної ради від 10.09.2015 №1576</t>
  </si>
  <si>
    <t>Обласна комплексна програма охорони навколишнього природного середовища в Житомирській області на 2018-2022 роки</t>
  </si>
  <si>
    <t>Рішення обласної ради від 21.12.2017 № 880</t>
  </si>
  <si>
    <t>Програма розвитку дорожньої інфраструктури і фінансування робіт, пов'язаних із будівництвом, реконструкцією, ремонтом та утриманням автомобільних доріг в Житомирській області на 2019-2021 роки</t>
  </si>
  <si>
    <t>Програма підвищення безпеки дорожнього руху в Житомирській області на 2019-2020 роки</t>
  </si>
  <si>
    <t>Обласна комунікаційна програма "Відкрита влада" на 2019-2021 роки</t>
  </si>
  <si>
    <t>Рішення обласної ради від 21.12.2017 № 878</t>
  </si>
  <si>
    <t>Виготовлення проектно-кошторисної документації на будівництво мототреку КЗПО "Житомирська обласна дитячо-юнацька спортивна школа "Юність" Житомирської обласної ради</t>
  </si>
  <si>
    <t>06546000000</t>
  </si>
  <si>
    <t>06547000000</t>
  </si>
  <si>
    <t>06548000000</t>
  </si>
  <si>
    <t>06549000000</t>
  </si>
  <si>
    <t>06550000000</t>
  </si>
  <si>
    <t>06551000000</t>
  </si>
  <si>
    <t>Рішення обласної ради від 18.12.2018 № 1293</t>
  </si>
  <si>
    <r>
      <t>Будівництво</t>
    </r>
    <r>
      <rPr>
        <vertAlign val="superscript"/>
        <sz val="14"/>
        <rFont val="Times New Roman"/>
        <family val="1"/>
        <charset val="204"/>
      </rPr>
      <t>1</t>
    </r>
    <r>
      <rPr>
        <sz val="14"/>
        <rFont val="Times New Roman"/>
        <family val="1"/>
        <charset val="204"/>
      </rPr>
      <t xml:space="preserve"> споруд, установ та закладів фізичної культури і спорту</t>
    </r>
  </si>
  <si>
    <t>Рішення обласної ради від 18.12.2018 № 1295</t>
  </si>
  <si>
    <t>Рішення обласної ради від 18.12.2018 № 1303</t>
  </si>
  <si>
    <t>Рішення обласної ради від 18.12.2018 № 1304</t>
  </si>
  <si>
    <t>Рішення обласної ради від 18.12.2018 № 1306</t>
  </si>
  <si>
    <t>Надання  довгострокових кредитів індивідуальним забудовникам житла на селі</t>
  </si>
  <si>
    <t>Повернення довгострокових кредитів, наданих індивідуальним забудовникам житла на селі</t>
  </si>
  <si>
    <r>
      <t>Будівництво</t>
    </r>
    <r>
      <rPr>
        <vertAlign val="superscript"/>
        <sz val="12"/>
        <rFont val="Times New Roman"/>
        <family val="1"/>
        <charset val="204"/>
      </rPr>
      <t xml:space="preserve"> 1</t>
    </r>
    <r>
      <rPr>
        <sz val="12"/>
        <rFont val="Times New Roman"/>
        <family val="1"/>
        <charset val="204"/>
      </rPr>
      <t xml:space="preserve"> інших об'єктів комунальної власності</t>
    </r>
  </si>
  <si>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</si>
  <si>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 xml:space="preserve">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за рахунок відповідної субвенції з державного бюджету
</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</si>
  <si>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</si>
  <si>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</si>
  <si>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</si>
  <si>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</si>
  <si>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</si>
  <si>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Усього доходів (без урахування міжбюджетних трансфертів)</t>
  </si>
  <si>
    <t>Субвенція з державного бюджету місцевим бюджетам на реалізацію заходів, спрямованих на підвищення якості освіти</t>
  </si>
  <si>
    <t>1617324</t>
  </si>
  <si>
    <t>1617363</t>
  </si>
  <si>
    <t>7363</t>
  </si>
  <si>
    <t>Виконання інвестиційних проектів в рамках реалізації заходів щодо соціально-економічного розвитку окремих територій</t>
  </si>
  <si>
    <t>1613105</t>
  </si>
  <si>
    <t>0717693</t>
  </si>
  <si>
    <t>0619360</t>
  </si>
  <si>
    <t>Рішення обласної ради від 21.12.2017 №875</t>
  </si>
  <si>
    <t>Рішення обласної ради від 21.11.2017 № 876</t>
  </si>
  <si>
    <t>Рішення обласної ради від 24.12.2015 № 25</t>
  </si>
  <si>
    <t>Про зарахування коштів до обласного бюджету</t>
  </si>
  <si>
    <t>Рішення обласної ради від 24.12.2015 № 37</t>
  </si>
  <si>
    <t>Програма підвищення енергоефективності будівель бюджетних установ та закладів у Житомирській області на 2018-2022 роки</t>
  </si>
  <si>
    <t>Рішення обласної ради від 26.07.2018 № 1135</t>
  </si>
  <si>
    <r>
      <t>Будівництво</t>
    </r>
    <r>
      <rPr>
        <vertAlign val="superscript"/>
        <sz val="12"/>
        <rFont val="Times New Roman"/>
        <family val="1"/>
        <charset val="204"/>
      </rPr>
      <t>1</t>
    </r>
    <r>
      <rPr>
        <sz val="12"/>
        <rFont val="Times New Roman"/>
        <family val="1"/>
        <charset val="204"/>
      </rPr>
      <t xml:space="preserve"> споруд, установ та закладів фізичної культури і спорту</t>
    </r>
  </si>
  <si>
    <t>1611110</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</si>
  <si>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</si>
  <si>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r>
      <t xml:space="preserve">Субвенція з державного бюджету місцевим бюджетам на виплату грошової компенсації за належні для отримання жилі приміщення для сімей осіб, визначених у абзаці чотирнадцятому </t>
    </r>
    <r>
      <rPr>
        <sz val="12"/>
        <color indexed="12"/>
        <rFont val="Times New Roman"/>
        <family val="1"/>
        <charset val="204"/>
      </rPr>
      <t>пункту 1 статті 10 Закону України "Про статус ветеранів війни, гарантії їх соціального захисту"</t>
    </r>
    <r>
      <rPr>
        <sz val="12"/>
        <rFont val="Times New Roman"/>
        <family val="1"/>
        <charset val="204"/>
      </rPr>
      <t xml:space="preserve">,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t>
    </r>
    <r>
      <rPr>
        <sz val="12"/>
        <color indexed="12"/>
        <rFont val="Times New Roman"/>
        <family val="1"/>
        <charset val="204"/>
      </rPr>
      <t>пунктом 10 частини другої статті 7 Закону України "Про статус ветеранів війни, гарантії їх соціального захисту"</t>
    </r>
    <r>
      <rPr>
        <sz val="12"/>
        <rFont val="Times New Roman"/>
        <family val="1"/>
        <charset val="204"/>
      </rPr>
      <t>, та які потребують поліпшення житлових умов</t>
    </r>
  </si>
  <si>
    <r>
      <t xml:space="preserve">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t>
    </r>
    <r>
      <rPr>
        <sz val="12"/>
        <color indexed="12"/>
        <rFont val="Times New Roman"/>
        <family val="1"/>
        <charset val="204"/>
      </rPr>
      <t>пункту 1 статті 10 Закону України "Про статус ветеранів війни, гарантії їх соціального захисту"</t>
    </r>
    <r>
      <rPr>
        <sz val="12"/>
        <rFont val="Times New Roman"/>
        <family val="1"/>
        <charset val="204"/>
      </rPr>
      <t xml:space="preserve">,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t>
    </r>
    <r>
      <rPr>
        <sz val="12"/>
        <color indexed="12"/>
        <rFont val="Times New Roman"/>
        <family val="1"/>
        <charset val="204"/>
      </rPr>
      <t>пунктом 7 частини другої статті 7 Закону України "Про статус ветеранів війни, гарантії їх соціального захисту"</t>
    </r>
    <r>
      <rPr>
        <sz val="12"/>
        <rFont val="Times New Roman"/>
        <family val="1"/>
        <charset val="204"/>
      </rPr>
      <t>, та які потребують поліпшення житлових умов</t>
    </r>
  </si>
  <si>
    <r>
      <t xml:space="preserve">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t>
    </r>
    <r>
      <rPr>
        <sz val="12"/>
        <color indexed="12"/>
        <rFont val="Times New Roman"/>
        <family val="1"/>
        <charset val="204"/>
      </rPr>
      <t>пунктів 11 - 14 частини другої статті 7</t>
    </r>
    <r>
      <rPr>
        <sz val="12"/>
        <rFont val="Times New Roman"/>
        <family val="1"/>
        <charset val="204"/>
      </rPr>
      <t xml:space="preserve"> або учасниками бойових дій відповідно до </t>
    </r>
    <r>
      <rPr>
        <sz val="12"/>
        <color indexed="12"/>
        <rFont val="Times New Roman"/>
        <family val="1"/>
        <charset val="204"/>
      </rPr>
      <t>пунктів 19 - 20 частини першої статті 6 Закону України "Про статус ветеранів війни, гарантії їх соціального захисту"</t>
    </r>
    <r>
      <rPr>
        <sz val="12"/>
        <rFont val="Times New Roman"/>
        <family val="1"/>
        <charset val="204"/>
      </rPr>
      <t>, та які потребують поліпшення житлових умов</t>
    </r>
  </si>
  <si>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</si>
  <si>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</si>
  <si>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</si>
  <si>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0819244</t>
  </si>
  <si>
    <t>9244</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</si>
  <si>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</si>
  <si>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</si>
  <si>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0819250</t>
  </si>
  <si>
    <t>Субвенція з державного бюджету місцевим бюджетам на створення оперативно-диспетчерських служб, на реалізацію пілотного проекту щодо розвитку системи екстреної медичної допомоги у Вінницькій, Донецькій, Одеській, Полтавській, Тернопільській областях та м. Києві</t>
  </si>
  <si>
    <t>Програма надання матеріально-технічної  допомоги Житомирському обласному військовому комісаріату та підтримки заходів з територіальної оборони області на 2018-2020роки</t>
  </si>
  <si>
    <t xml:space="preserve">Програма матеріально-технічної допомоги військовим частинам Збройних Сил України, Національної гвардії України та державним військово-навчальним закладам Міністерства оборони України, які дислокуються на території Житомирської област,і на  2018-2020 роки </t>
  </si>
  <si>
    <t xml:space="preserve">від                   № </t>
  </si>
  <si>
    <t>Субвенція з державного бюджету місцевим бюджетам на будівництво мультифункціональних майданчиків для занять ігровими видами спорту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</si>
  <si>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</si>
  <si>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0813224</t>
  </si>
  <si>
    <t>3224</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</si>
  <si>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</si>
  <si>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1017693</t>
  </si>
  <si>
    <t>0217693</t>
  </si>
  <si>
    <t>1617693</t>
  </si>
  <si>
    <t>мельник</t>
  </si>
  <si>
    <t>2317693</t>
  </si>
  <si>
    <t>Рішення обласної ради від 18.12.2018 № 129, зі змінами</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</si>
  <si>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</si>
  <si>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</si>
  <si>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</si>
  <si>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0819270</t>
  </si>
  <si>
    <t>0817693</t>
  </si>
  <si>
    <t>0717367</t>
  </si>
  <si>
    <t>Рішення обласної ради від 18.12.2018 № 1293, зі змінами</t>
  </si>
  <si>
    <t>Управління з питань цивільного захисту населення та оборонної роботи Житомирської обласної державної адміністрації</t>
  </si>
  <si>
    <t>06100000000</t>
  </si>
  <si>
    <t>(код бюджету)</t>
  </si>
  <si>
    <t xml:space="preserve">  06100000000</t>
  </si>
  <si>
    <t xml:space="preserve"> 06100000000</t>
  </si>
  <si>
    <t>1013111</t>
  </si>
  <si>
    <t>1013121</t>
  </si>
  <si>
    <t>1013122</t>
  </si>
  <si>
    <t>1013123</t>
  </si>
  <si>
    <t>1013131</t>
  </si>
  <si>
    <t>1013133</t>
  </si>
  <si>
    <t>1013140</t>
  </si>
  <si>
    <t>1013241</t>
  </si>
  <si>
    <t>1013242</t>
  </si>
  <si>
    <t>1015011</t>
  </si>
  <si>
    <t>1015012</t>
  </si>
  <si>
    <t>1015021</t>
  </si>
  <si>
    <t>1015022</t>
  </si>
  <si>
    <t>1015031</t>
  </si>
  <si>
    <t>1015032</t>
  </si>
  <si>
    <t>1015033</t>
  </si>
  <si>
    <t>1015051</t>
  </si>
  <si>
    <t>1015052</t>
  </si>
  <si>
    <t>1015053</t>
  </si>
  <si>
    <t>1015061</t>
  </si>
  <si>
    <t>1015062</t>
  </si>
  <si>
    <t>1016084</t>
  </si>
  <si>
    <t>1017325</t>
  </si>
  <si>
    <t>1017370</t>
  </si>
  <si>
    <t>1017700</t>
  </si>
  <si>
    <t>1019580</t>
  </si>
  <si>
    <t>Департамент культури, молоді та спорту Житомирської обласної державної адміністрації</t>
  </si>
  <si>
    <t>1018821</t>
  </si>
  <si>
    <t>1619540</t>
  </si>
  <si>
    <t>оплату за проведення корекційно-розвиткових занять і придбання спеціальних засобів корекції для вихованців інклюзивних груп закладів дошкільної освіти</t>
  </si>
  <si>
    <t>оплату за проведення корекційно-розвиткових занять і придбання спеціальних засобів корекції для учнів інклюзивних класів закладів загальної середньої освіти</t>
  </si>
  <si>
    <t>1617440</t>
  </si>
  <si>
    <t>1617450</t>
  </si>
  <si>
    <t>0811110</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</si>
  <si>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</si>
  <si>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</si>
  <si>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</si>
  <si>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</si>
  <si>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</si>
  <si>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Рівень виконання робіт на початок бюджетного періоду,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</si>
  <si>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</si>
  <si>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</si>
  <si>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</si>
  <si>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</si>
  <si>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Код Програмної класифікації видатків та кредитування місцевого бюджету</t>
  </si>
  <si>
    <t>Субвенція з державного бюджету місцевим бюджетам на розвиток системи екстреної медичної допомоги</t>
  </si>
  <si>
    <t>Надання пільгових довгострокових кредитів молодим сім’ям та одиноким молодим громадянам на будівництво/придбання житла</t>
  </si>
  <si>
    <t>Повернення пільгових довгострокових кредитів, наданих молодим сім’ям та одиноким молодим громадянам на будівництво/придбання житла</t>
  </si>
  <si>
    <t>1019770</t>
  </si>
  <si>
    <t>Ремонтно-реставраційні роботи по будівлі Магістрату КЗ "Житомирський обласний краєзнавчий музей" за адресою: вул. Кафедральна, 3 в м. Житомирі</t>
  </si>
  <si>
    <t>2019-2020</t>
  </si>
  <si>
    <t>06552000000</t>
  </si>
  <si>
    <t>06553000000</t>
  </si>
  <si>
    <t>Програма забезпечення депутатської діяльності, проведення конкурсів та нагород обласної ради на 2020 рік</t>
  </si>
  <si>
    <t>Рішення обласної ради від 18.12.2019 №</t>
  </si>
  <si>
    <t>Рішення обласної ради від 07.03.2018 №949, зі змінами</t>
  </si>
  <si>
    <t>Рішення обласної ради від 02.11.2017 № 776 зі змінами</t>
  </si>
  <si>
    <t>Рентна плата за спеціальне використання води (крім рентної плати за спеціальне використання води водних об'єктів місцевого значення)</t>
  </si>
  <si>
    <t>Плата за спеціальне використання диких тварин</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</si>
  <si>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</si>
  <si>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</si>
  <si>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Частина чистого прибутку (доходу)  комунальних унітарних підприємств та їх об'єднань, що вилучається до відповідного місцевого бюджету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</si>
  <si>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</si>
  <si>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</si>
  <si>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</si>
  <si>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</si>
  <si>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Внески до статутного капіталу суб'єктів господарювання</t>
  </si>
  <si>
    <t>Програма фінансової підтримки комунальних підприємств на 2020 рік</t>
  </si>
  <si>
    <t>Програма стимулювання населення, ОСББ, ЖБК Житомирщини щодо ефективного використання енергетичних ресурсів та енергозбереження на 2015-2021 роки</t>
  </si>
  <si>
    <t>0611020</t>
  </si>
  <si>
    <t>0611030</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</si>
  <si>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</si>
  <si>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Надання загальної середньої освіти спеціалізованими закладами загальної середньої освіти</t>
  </si>
  <si>
    <t>Підготовка кадрів закладами фахової передвищої освіти</t>
  </si>
  <si>
    <t>0921</t>
  </si>
  <si>
    <t xml:space="preserve">Спеціалізована стаціонарна медична допомога населенню </t>
  </si>
  <si>
    <t>Підготовка кадрів закладами вищої освіти</t>
  </si>
  <si>
    <t>Рішення обласної ради від 18.12.2019 №1781</t>
  </si>
  <si>
    <t>Підготовка кадрів закладами професійної (професійно-технічної) освіти та іншими закладами освіти</t>
  </si>
  <si>
    <t>Надання позашкільної освіти закладами позашкільної освіти, заходи із позашкільної роботи з дітьми</t>
  </si>
  <si>
    <t>Програма підтримки та розвитку об"єктів спільної власності територіальних громад області на 2019-2020 роки</t>
  </si>
  <si>
    <t>Рішення обласної ради від 07.02.2019 №1368, зі змінами</t>
  </si>
  <si>
    <t>Утримання та розвиток автомобільних доріг та дорожньої інфраструктури за рахунок трансфертів з інших місцевих бюджетів</t>
  </si>
  <si>
    <t>2818320</t>
  </si>
  <si>
    <t>8320</t>
  </si>
  <si>
    <t>Збереження природно-заповідного фонду</t>
  </si>
  <si>
    <t>0520</t>
  </si>
  <si>
    <t>2817650</t>
  </si>
  <si>
    <t>7650</t>
  </si>
  <si>
    <t>Проведення експертної грошової оцінки земельної ділянки чи права на неї</t>
  </si>
  <si>
    <t>Амбулаторія на 1-2 лікаря з житлом по вул. Каштанова,4-а у смт Гришківці Бердичівського району Житомирської області - будівництво. (Коригування)</t>
  </si>
  <si>
    <t>Амбулаторія на 1-2 лікаря з житлом по вул. Соборна,23 у с.Райгородок Бердичівського району Житомирської області - будівництво. (Коригування)</t>
  </si>
  <si>
    <t>Амбулаторія на 1-2 лікаря з житлом по вул. Шкільна,5б у с. Сінгури Житомирського району Житомирської області - будівництво. (Коригування)</t>
  </si>
  <si>
    <t>Амбулаторія  на 1-2 лікаря з житлом по вул. Шкільна,1 у с. Нові Вороб' ї Малинського району Житомирської області - будівництво. (Коригування)</t>
  </si>
  <si>
    <t>Амбулаторія на 1-2 лікаря з житлом по вул. Горького,17б у смт. Першотравневе Овруцького району Житомирської області - будівництво. (Коригування)</t>
  </si>
  <si>
    <t>Амбулаторія  на 1-2 лікаря з житлом по вул. Центральна,42 у с. Борщів  Радомишльського району Житомирської області - будівництво. (Коригування)</t>
  </si>
  <si>
    <t>Амбулаторія на 1-2 лікаря з житлом по вул. Сонячна,5а у смт. Биківка Романівського району Житомирської області - будівництво. (Коригування)</t>
  </si>
  <si>
    <t>Амбулаторія  на 1-2 лікаря з житлом по провулку Медичному,5 у с. Білилівка Ружинського району Житомирської області  - будівництво. (Коригування)</t>
  </si>
  <si>
    <t>Амбулаторія на 1-2 лікаря з житлом по вул. Центральна 20А у с. Водотиї Брусилівського району Житомирської області - будівництво. (Коригування)</t>
  </si>
  <si>
    <t>Амбулаторія на 1-2 лікаря з житлом по вул. Миру,9 у с. Ірша Радомишльського району Житомирської області - будівництво. (Коригування)</t>
  </si>
  <si>
    <t>Амбулаторія  на 1-2 лікаря з житлом по вул.Центральна,10 у с.Високе Черняхівського району Житомирської області - будівництво (Коригування)</t>
  </si>
  <si>
    <t>Амбулаторія на 1-2 лікаря з житлом по   вул. Адмірала Левченка,137 в с. Дубрівка Баранівського району Житомирської області - будівництво. (Коригування)</t>
  </si>
  <si>
    <t>Амбулаторія  на 1-2 лікаря з житлом по вул. Першотравнева,6а у с. Квітневе Попільнянського району Житомирської області - будівництво (Коригування)</t>
  </si>
  <si>
    <t>Амбулаторія  на 1-2 лікаря з житлом по  вул. Центральна,48 у с. Краснопіль Чуднівського району Житомирської області - будівництво. (Коригування)</t>
  </si>
  <si>
    <t>Амбулаторія на 1-2 лікаря з житлом по вул. Зарудня,30 у с. Липне Любарського району  Житомирської області - будівництво. (Коригування)</t>
  </si>
  <si>
    <t>Амбулаторія на 1-2 лікаря з житлом по вул. Шляхова,55 у с. Покалів Овруцького району Житомирської області - будівництво. (Коригування)</t>
  </si>
  <si>
    <t>Амбулаторія  на 1-2 лікаря з житлом по вул. Малікова,51б у с. Хочине Олевського району Житомирської області - будівництво. (Коригування)</t>
  </si>
  <si>
    <t>Амбулаторія  на 1-2 лікаря з житлом в с. Оліївка по вул. Зоряна,72а (південний схід с. Сонячне) Житомирского  району Житомирської області - будівництво. (Коригування)</t>
  </si>
  <si>
    <t>Амбулаторія на 1-2 лікаря з житлом по вул. Каштанова,113а у с. Семенівка Бердичівського району Житомирської області - будівництво. (Коригування)</t>
  </si>
  <si>
    <t>Амбулаторія на 1-2 лікаря з житлом по вул. Миру,1 у с. Соколів Пулинського  району Житомирської області - будівництво. (Коригування)</t>
  </si>
  <si>
    <t>Амбулаторія на 1-2 лікаря з житлом по вул. Шкільна,3 у с. Піски Житомирського району Житомирської області - будівництво. (Коригування)</t>
  </si>
  <si>
    <t>Амбулаторія на 3-4 лікаря  по вул. Квітневій, 4-А у смт.Нова Борова Хорошівського району - будівництво</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</si>
  <si>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</si>
  <si>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Субвенція з державного бюджету місцевим бюджетам на реалізацію програми "Спроможна школа для кращих результатів"</t>
  </si>
  <si>
    <t>0717321</t>
  </si>
  <si>
    <t>0617321</t>
  </si>
  <si>
    <t>1617323</t>
  </si>
  <si>
    <t>7323</t>
  </si>
  <si>
    <t>0717322</t>
  </si>
  <si>
    <t>3019800</t>
  </si>
  <si>
    <t>Рішення обласної ради від 18.12.2018 №1305, зі змінами</t>
  </si>
  <si>
    <t>Програма розвитку та фінансової підтримки КНП "Обласна клінічна лікарня ім.О.Ф.Гербачевського" ЖОР на 2020 рік</t>
  </si>
  <si>
    <t>Рішення обласної ради від 05.03.20 №1810</t>
  </si>
  <si>
    <t>Програма розвитку та фінансової підтримки КНП "Житомирська обласна дитяча клінічна лікарня" ЖОР на 2020 рік</t>
  </si>
  <si>
    <t>Рішення обласної ради від 05.03.20</t>
  </si>
  <si>
    <t>Рішення обласної ради від 26.07.2018 №1135</t>
  </si>
  <si>
    <r>
      <t>Будівництво</t>
    </r>
    <r>
      <rPr>
        <vertAlign val="superscript"/>
        <sz val="12"/>
        <rFont val="Times New Roman"/>
        <family val="1"/>
        <charset val="204"/>
      </rPr>
      <t>1</t>
    </r>
    <r>
      <rPr>
        <sz val="12"/>
        <rFont val="Times New Roman"/>
        <family val="1"/>
        <charset val="204"/>
      </rPr>
      <t xml:space="preserve"> медичних установ та закладів</t>
    </r>
  </si>
  <si>
    <r>
      <t>Будівництво</t>
    </r>
    <r>
      <rPr>
        <vertAlign val="superscript"/>
        <sz val="10"/>
        <rFont val="Times New Roman"/>
        <family val="1"/>
        <charset val="204"/>
      </rPr>
      <t>1</t>
    </r>
    <r>
      <rPr>
        <sz val="8"/>
        <rFont val="Times New Roman"/>
        <family val="1"/>
        <charset val="204"/>
      </rPr>
      <t xml:space="preserve"> </t>
    </r>
    <r>
      <rPr>
        <sz val="14"/>
        <rFont val="Times New Roman"/>
        <family val="1"/>
        <charset val="204"/>
      </rPr>
      <t>освітніх установ та закладів</t>
    </r>
  </si>
  <si>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</si>
  <si>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r>
      <t>Інше внутрішнє фінансування</t>
    </r>
    <r>
      <rPr>
        <sz val="12"/>
        <rFont val="Times New Roman"/>
        <family val="1"/>
        <charset val="204"/>
      </rPr>
      <t> </t>
    </r>
  </si>
  <si>
    <r>
      <t>203400</t>
    </r>
    <r>
      <rPr>
        <sz val="12"/>
        <rFont val="Times New Roman"/>
        <family val="1"/>
        <charset val="204"/>
      </rPr>
      <t> </t>
    </r>
  </si>
  <si>
    <r>
      <t>Фінансування за рахунок коштів єдиного казначейського рахунку</t>
    </r>
    <r>
      <rPr>
        <sz val="12"/>
        <rFont val="Times New Roman"/>
        <family val="1"/>
        <charset val="204"/>
      </rPr>
      <t> </t>
    </r>
  </si>
  <si>
    <t>203410 </t>
  </si>
  <si>
    <t>Одержано </t>
  </si>
  <si>
    <t>203420 </t>
  </si>
  <si>
    <t>Повернено </t>
  </si>
  <si>
    <r>
      <t>Будівництво</t>
    </r>
    <r>
      <rPr>
        <vertAlign val="superscript"/>
        <sz val="14"/>
        <rFont val="Times New Roman"/>
        <family val="1"/>
        <charset val="204"/>
      </rPr>
      <t>1</t>
    </r>
    <r>
      <rPr>
        <sz val="14"/>
        <rFont val="Times New Roman"/>
        <family val="1"/>
        <charset val="204"/>
      </rPr>
      <t xml:space="preserve"> освітніх установ та закладів</t>
    </r>
  </si>
  <si>
    <r>
      <t>Будівництво</t>
    </r>
    <r>
      <rPr>
        <vertAlign val="superscript"/>
        <sz val="14"/>
        <rFont val="Times New Roman"/>
        <family val="1"/>
        <charset val="204"/>
      </rPr>
      <t>1</t>
    </r>
    <r>
      <rPr>
        <sz val="14"/>
        <rFont val="Times New Roman"/>
        <family val="1"/>
        <charset val="204"/>
      </rPr>
      <t xml:space="preserve"> медичних установ та закладів</t>
    </r>
  </si>
  <si>
    <t>Бондар невірно було віднесено дану суму на ЗФ</t>
  </si>
  <si>
    <t>Відсутня програма, вияснити</t>
  </si>
  <si>
    <t>Рішення обласної ради від 05.03.20 № 1811</t>
  </si>
  <si>
    <t>Субвенція з державного бюджету місцевим бюджетам на здійснення підтримки окремих закладів та заходів у системі охорони здоров"я</t>
  </si>
  <si>
    <t>0719430</t>
  </si>
  <si>
    <t>9430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</si>
  <si>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</si>
  <si>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1611050</t>
  </si>
  <si>
    <t>2819800</t>
  </si>
  <si>
    <t>Трокоз</t>
  </si>
  <si>
    <t>Мельник</t>
  </si>
  <si>
    <t>2018-2021</t>
  </si>
  <si>
    <t>Мельник/Трокоз</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</si>
  <si>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</si>
  <si>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0118312</t>
  </si>
  <si>
    <t>Субвенція з державного бюджету місцевим бюджетам на реалізацію проектів з реконструкції, капітального ремонту приймальних відділень в опорних закладах охорони здоров'я у госпітальних округах</t>
  </si>
  <si>
    <t>0617363</t>
  </si>
  <si>
    <t>Виконання інвстиційних проектів в рамках здійснення заходів щодо соціально-економічного розвитку територій</t>
  </si>
  <si>
    <t>0717363</t>
  </si>
  <si>
    <t>1617369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</si>
  <si>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</si>
  <si>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</si>
  <si>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Реалізація проектів з реконструкції, капітального ремонту приймальних відділень в опорних закладах охорони здоров'я у госпітальних округах</t>
  </si>
  <si>
    <t>Реконструкція частини приміщень першого поверху приймального відділення Комунального некомерційного підприємства "Овруцька міська лікарня" Овруцької міської ради під відділення екстреної медичної допомоги за адресою: вул.Т.Шевченка 106, м. Овруч</t>
  </si>
  <si>
    <t>Реконструкція приміщень для розміщення відділення невідкладної (екстреної) медичної допомоги Комунального підприємства "Лікарня №1" за адресою:  м. Житомир, вул. В. Бердичівська, 70</t>
  </si>
  <si>
    <t xml:space="preserve">Реконструкція приймально-діагностичного відділення  під відділення екстреної медичної допомоги  Комунального некомерційного підприємства "Центральна районна лікарня" Житомирської районної ради за адресою шосе Сквирське, 3, с. Станишівка, Житомирського району </t>
  </si>
  <si>
    <t>Реконструкція Комунального некомерційного підприємства "Коростенська Центральна міська клінічна лікарня Коростенської міської ради" з будівництвом Хірургічного корпусу по вулиці Амосова Миколи, 8 в м. Коростень (1 пусковий комплекс - приймальне відділення екстреної медичної допомоги)</t>
  </si>
  <si>
    <t>0110191</t>
  </si>
  <si>
    <t>0191</t>
  </si>
  <si>
    <t>0160</t>
  </si>
  <si>
    <t>Проведення місцевих виборів</t>
  </si>
  <si>
    <r>
      <t xml:space="preserve">Козиренко, </t>
    </r>
    <r>
      <rPr>
        <b/>
        <sz val="10"/>
        <color indexed="53"/>
        <rFont val="Arial Cyr"/>
        <charset val="204"/>
      </rPr>
      <t>мельник</t>
    </r>
  </si>
  <si>
    <t>Субвенція з державного бюджету місцевим бюджетам на здійснення доплат медичним та іншим працівникам закладів охорони здоров'я за рахунок коштів, виділених з фонду боротьби з гострою респіраторною хворобою COVID-19, спричиненою коронавірусом SARS-CoV-2, та її наслідками</t>
  </si>
  <si>
    <t>Субвенція з державного бюджету місцевим бюджетам на створення навчально-практичних центрів сучасної професійної (професійно-технічної) освіти</t>
  </si>
  <si>
    <t>Козиренко</t>
  </si>
  <si>
    <t>Кошти, що передаються</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</si>
  <si>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</si>
  <si>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</si>
  <si>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</si>
  <si>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</si>
  <si>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0619380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</si>
  <si>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 відповідної субвенції з державного бюджету</t>
  </si>
  <si>
    <r>
      <t>Будівництво</t>
    </r>
    <r>
      <rPr>
        <vertAlign val="superscript"/>
        <sz val="14"/>
        <rFont val="Times New Roman"/>
        <family val="1"/>
        <charset val="204"/>
      </rPr>
      <t>1</t>
    </r>
    <r>
      <rPr>
        <sz val="14"/>
        <rFont val="Times New Roman"/>
        <family val="1"/>
        <charset val="204"/>
      </rPr>
      <t xml:space="preserve"> установ та закладів культури</t>
    </r>
  </si>
  <si>
    <r>
      <t>Будівництво</t>
    </r>
    <r>
      <rPr>
        <vertAlign val="superscript"/>
        <sz val="12"/>
        <rFont val="Times New Roman"/>
        <family val="1"/>
        <charset val="204"/>
      </rPr>
      <t>1</t>
    </r>
    <r>
      <rPr>
        <sz val="12"/>
        <rFont val="Times New Roman"/>
        <family val="1"/>
        <charset val="204"/>
      </rPr>
      <t xml:space="preserve"> установ та закладів культури</t>
    </r>
  </si>
  <si>
    <r>
      <t>Будівництво</t>
    </r>
    <r>
      <rPr>
        <vertAlign val="superscript"/>
        <sz val="8"/>
        <rFont val="Times New Roman"/>
        <family val="1"/>
        <charset val="204"/>
      </rPr>
      <t>1</t>
    </r>
    <r>
      <rPr>
        <sz val="8"/>
        <rFont val="Times New Roman"/>
        <family val="1"/>
        <charset val="204"/>
      </rPr>
      <t xml:space="preserve"> </t>
    </r>
    <r>
      <rPr>
        <sz val="14"/>
        <rFont val="Times New Roman"/>
        <family val="1"/>
        <charset val="204"/>
      </rPr>
      <t>освітніх установ та закладів</t>
    </r>
  </si>
  <si>
    <r>
      <t>Будівництво</t>
    </r>
    <r>
      <rPr>
        <vertAlign val="superscript"/>
        <sz val="12"/>
        <rFont val="Times New Roman"/>
        <family val="1"/>
        <charset val="204"/>
      </rPr>
      <t xml:space="preserve"> 1</t>
    </r>
    <r>
      <rPr>
        <sz val="12"/>
        <rFont val="Times New Roman"/>
        <family val="1"/>
        <charset val="204"/>
      </rPr>
      <t xml:space="preserve"> установ та закладів соціальної сфери</t>
    </r>
  </si>
  <si>
    <r>
      <t>Будівництво</t>
    </r>
    <r>
      <rPr>
        <vertAlign val="superscript"/>
        <sz val="14"/>
        <color indexed="8"/>
        <rFont val="Times New Roman"/>
        <family val="1"/>
        <charset val="204"/>
      </rPr>
      <t>1</t>
    </r>
    <r>
      <rPr>
        <sz val="14"/>
        <color indexed="8"/>
        <rFont val="Times New Roman"/>
        <family val="1"/>
        <charset val="204"/>
      </rPr>
      <t xml:space="preserve"> споруд, установ та закладів фізичної культури і спорту</t>
    </r>
  </si>
  <si>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спричиненю коронавірусом SARS-СoV-2, за рахунок відповідної субвенції з державного бюджету</t>
  </si>
  <si>
    <t>0719411</t>
  </si>
  <si>
    <t>Субвенція з державного бюджету місцевим бюджетам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спричиненю коронавірусом SARS-СoV-2, за рахунок коштів, виділених з фонду боротьби з гострою респіраторною хворобою COVID-19, спричиненю коронавірусом SARS-СoV-2, та її наслідками</t>
  </si>
  <si>
    <t>9411</t>
  </si>
  <si>
    <t xml:space="preserve">                    Доходи обласного бюджету на 2021 рік</t>
  </si>
  <si>
    <t>видатків обласного бюджету на 2021 рік</t>
  </si>
  <si>
    <t>Фінансування обласного бюджету на 2021 рік</t>
  </si>
  <si>
    <t>Кредитування обласного бюджету у 2021 році</t>
  </si>
  <si>
    <t>Міжбюджетні трансферти на 2021 рік</t>
  </si>
  <si>
    <t xml:space="preserve">                 Інші субвенції з обласного бюджету місцевим бюджетам на 2021 рік</t>
  </si>
  <si>
    <t>Субвенції з обласного бюджету державному бюджету на виконання програм соціально-економічного розвитку регіонів на 2021 рік</t>
  </si>
  <si>
    <t>Розподіл витрат обласного бюджету на реалізацію місцевих (регіональних) програм у 2021 році</t>
  </si>
  <si>
    <t>1. Показники міжбюджетних трансфертів з інших бюджетів</t>
  </si>
  <si>
    <t>Код Класифікації доходу бюджету/ Код бюджету</t>
  </si>
  <si>
    <t>Найменування трансферту / Найменування бюджету - надавача міжбюджетного трансферту</t>
  </si>
  <si>
    <t>I. Трансферти до загального фонду бюджету</t>
  </si>
  <si>
    <t>Бюджет Високівської сільської територіальної громади</t>
  </si>
  <si>
    <t>II. Трансферти до спеціального фонду бюджету</t>
  </si>
  <si>
    <t>X</t>
  </si>
  <si>
    <t>УСЬОГО за розділами I,II, у тому числі:</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</si>
  <si>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</si>
  <si>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</si>
  <si>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</si>
  <si>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у тому числі на:</t>
  </si>
  <si>
    <t>I. Трансферти із загального фонду бюджету</t>
  </si>
  <si>
    <t>Бюджет Вишевицької сільської територіальної громади</t>
  </si>
  <si>
    <t>Бюджет Дубрівської сільської територіальної громади</t>
  </si>
  <si>
    <t>Бюджет Іршанської селищної територіальної громади</t>
  </si>
  <si>
    <t>Бюджет Народицької селищної територіальної громади</t>
  </si>
  <si>
    <t>Бюджет Новоборівської селищної територіальної громади</t>
  </si>
  <si>
    <t>Бюджет Потіївської сільської територіальної громади</t>
  </si>
  <si>
    <t>Бюджет Тетерівської сільської територіальної громади</t>
  </si>
  <si>
    <t>Бюджет Червоненської селищної територіальної громади</t>
  </si>
  <si>
    <t>Бюджет Корнинської селищної територіальної громади</t>
  </si>
  <si>
    <t>Бюджет Баранівської міської територіальної громади</t>
  </si>
  <si>
    <t>Бюджет Коростишівської міської територіальної громади</t>
  </si>
  <si>
    <t>Бюджет Олевської міської територіальної громади</t>
  </si>
  <si>
    <t>Бюджет Брусилівської селищної територіальної громади</t>
  </si>
  <si>
    <t xml:space="preserve">Бюджет Городницької селищної територіальної громади </t>
  </si>
  <si>
    <t>Бюджет Довбиської селищної територіальної громади</t>
  </si>
  <si>
    <t>Бюджет Лугинської селищної територіальної громади</t>
  </si>
  <si>
    <t xml:space="preserve">Бюджет Миропільської селищної територіальної громади </t>
  </si>
  <si>
    <t>Бюджет Попільнянської селищної територіальної громади</t>
  </si>
  <si>
    <t>Бюджет Хорошівської селищної територіальної громади</t>
  </si>
  <si>
    <t>Бюджет Чоповицької селищної територіальної громади</t>
  </si>
  <si>
    <t>Бюджет Андрушківської сільської територіальної громади</t>
  </si>
  <si>
    <t>Бюджет Барашівської сільської територіальної громади</t>
  </si>
  <si>
    <t>Бюджет Білокоровицької сільської територіальної громади</t>
  </si>
  <si>
    <t>Бюджет Горщиківської сільської територіальної громади</t>
  </si>
  <si>
    <t>Бюджет Квітневої сільської територіальної громади</t>
  </si>
  <si>
    <t xml:space="preserve">Бюджет Краснопільської сільської територіальної громади </t>
  </si>
  <si>
    <t>Бюджет Семенівської сільської територіальної громади</t>
  </si>
  <si>
    <t>Бюджет Станишівської сільської територіальної громади</t>
  </si>
  <si>
    <t xml:space="preserve">Бюджет Ушомирської сільської територіальної громади </t>
  </si>
  <si>
    <t>Бюджет Чижівської сільської територіальної громади</t>
  </si>
  <si>
    <t>Бюджет Ємільчинської селищної територіальної громади</t>
  </si>
  <si>
    <t>Бюджет Любарської селищної територіальної громади</t>
  </si>
  <si>
    <t>Бюджет Брониківської сільської територіальної громади</t>
  </si>
  <si>
    <t>Бюджет Піщівської сільської територіальної громади</t>
  </si>
  <si>
    <t xml:space="preserve">Бюджет Словечанської сільської територіальної громади </t>
  </si>
  <si>
    <t xml:space="preserve">Бюджет Овруцької міської територіальної громади </t>
  </si>
  <si>
    <t>Бюджет Курненської сільської територіальної громади</t>
  </si>
  <si>
    <t>Бюджет Пулинської селищної територіальної громади</t>
  </si>
  <si>
    <t>Бюджет Радомишльської міської територіальної громади</t>
  </si>
  <si>
    <t>Бюджет Глибочицької сільської територіальної громади</t>
  </si>
  <si>
    <t>Бюджет Оліївської сільської територіальної громади</t>
  </si>
  <si>
    <t>Бюджет Вільшанської сільської територіальної громади</t>
  </si>
  <si>
    <t>Бюджет Вчорайшенської сільської територіальної громади</t>
  </si>
  <si>
    <t>Бюджет Гришковецької селищної територіальної громади</t>
  </si>
  <si>
    <t>Бюджет Райгородоцької сільської територіальної громади</t>
  </si>
  <si>
    <t>Бюджет Чуднівської міської територіальної громади</t>
  </si>
  <si>
    <t>Бюджет Швайківської сільської територіальної громади</t>
  </si>
  <si>
    <t xml:space="preserve">Бюджет Житомирської міської територіальної громади </t>
  </si>
  <si>
    <t xml:space="preserve">Бюджет  Новоград-Волинської міської територіальної громади </t>
  </si>
  <si>
    <t>06554000000</t>
  </si>
  <si>
    <t xml:space="preserve">Бюджет Стриївської сільської територіальної громади </t>
  </si>
  <si>
    <t>06555000000</t>
  </si>
  <si>
    <t xml:space="preserve">Бюджет Харитонівської сільської територіальної громади </t>
  </si>
  <si>
    <t>06556000000</t>
  </si>
  <si>
    <t xml:space="preserve">Бюджет Старосілецької сільської територіальної громади </t>
  </si>
  <si>
    <t>06557000000</t>
  </si>
  <si>
    <t>Бюджет Андрушівської міської територіальної громади</t>
  </si>
  <si>
    <t>06558000000</t>
  </si>
  <si>
    <t>Бюджет Бердичівської міської територіальної громади</t>
  </si>
  <si>
    <t>06559000000</t>
  </si>
  <si>
    <t>Бюджет Березівської сільської територіальної громади</t>
  </si>
  <si>
    <t>06560000000</t>
  </si>
  <si>
    <t>Бюджет Волицької сільської територіальної громади</t>
  </si>
  <si>
    <t>06561000000</t>
  </si>
  <si>
    <t>Бюджет Гладковицької сільської територіальної громади</t>
  </si>
  <si>
    <t>06562000000</t>
  </si>
  <si>
    <t>Бюджет Городоцької селищної територіальної громади</t>
  </si>
  <si>
    <t>06563000000</t>
  </si>
  <si>
    <t>Бюджет Коростенської міської територіальної громади</t>
  </si>
  <si>
    <t>06564000000</t>
  </si>
  <si>
    <t>Бюджет Малинської міської територіальної громади</t>
  </si>
  <si>
    <t>06565000000</t>
  </si>
  <si>
    <t>Бюджет Новогуйвинської селищної територіальної громади</t>
  </si>
  <si>
    <t>06566000000</t>
  </si>
  <si>
    <t>Бюджет Романівської селищної територіальної громади</t>
  </si>
  <si>
    <t>06567000000</t>
  </si>
  <si>
    <t>Бюджет Ружинської селищної територіальної громади</t>
  </si>
  <si>
    <t>06568000000</t>
  </si>
  <si>
    <t>Бюджет Черняхівської селищної територіальної громади</t>
  </si>
  <si>
    <t>06569000000</t>
  </si>
  <si>
    <t>Бюджет Ярунської сільської територіальної громади</t>
  </si>
  <si>
    <t>заробітну плату з нарахуваннями педагогічних працівників закладів загальної середньої освіти приватної форми власності</t>
  </si>
  <si>
    <t>заробітну плату з нарахуваннями педагогічних працівників інклюзивно-ресурсних центрів</t>
  </si>
  <si>
    <t xml:space="preserve">заробітну плату з нарахуваннями  педагогічних працівників, залучених до занять з учнями, що знаходяться на тривалому лікуванні в закладах охорони здоров"я обласного підпорядкування </t>
  </si>
  <si>
    <t>лікування хворих на цукровий і нецукровий діабет</t>
  </si>
  <si>
    <t>II. Трансферти із спеціального фонду бюджету</t>
  </si>
  <si>
    <t>з них на:</t>
  </si>
  <si>
    <t xml:space="preserve">УСЬОГО за розділами I, II, у тому числі: </t>
  </si>
  <si>
    <t>3718710</t>
  </si>
  <si>
    <t>Резервний фонд місцевого бюджету</t>
  </si>
  <si>
    <t>Контроль, всього</t>
  </si>
  <si>
    <t>КЕКВ 2620</t>
  </si>
  <si>
    <t>КЕКВ 3220</t>
  </si>
  <si>
    <t>Реконструкція операційного блоку  (ургентна операційна і відділення  анестезіології та інтенсивної терапії дітей старшого віку) Житомирської обласної дитячої лікарні за адресою: Житомирська область, Житомирський район, с.Станишівка, Сквирське шосе, 6 (коригування пкд)</t>
  </si>
  <si>
    <t>2021</t>
  </si>
  <si>
    <t>100</t>
  </si>
  <si>
    <t>2021-2022</t>
  </si>
  <si>
    <t>2017-2021</t>
  </si>
  <si>
    <t>2019-2021</t>
  </si>
  <si>
    <t xml:space="preserve">Реконструкція будівлі Житомирського обласного онкологічного диспансеру по вул. Фещенко-Чопівського, 24/4 в м. Житомирі (термосанація) з прибудовою - коригування </t>
  </si>
  <si>
    <t>Реставраційно-ремонтні роботи по будівлі Житомирського академічного українського музично-драматичного театру ім.І.Кочерги за адресою: пл.Соборна, 6, м.Житомир</t>
  </si>
  <si>
    <t>50</t>
  </si>
  <si>
    <t>О.М. Дзюбенко</t>
  </si>
  <si>
    <t>8710</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</si>
  <si>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</si>
  <si>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фінансову підтримку КП "Футбольний клуб "Полісся" Житомирської міської ради</t>
  </si>
  <si>
    <t>нормативно-грошову оцінку та протиерозійні, гідротехнічні і протизсувні споруди</t>
  </si>
  <si>
    <t>виконання  Регіональної  (комплексної) цільової соціальної Програми забезпечення житлом дітей-сиріт, дітей, позбавлених батьківського піклування, та осіб з їх числа на 2018-2022 роки</t>
  </si>
  <si>
    <t>Програма економічного і соціального розвитку Житомирської області на 2021 рік</t>
  </si>
  <si>
    <t>Обласна програма розвитку футболу на 2018-2021 роки</t>
  </si>
  <si>
    <t>Програма розвитку агропромислового комплексу Житомирської області на 2021-2027 роки</t>
  </si>
  <si>
    <t>Комплексна Програма забезпечення пожежної та техногенної безпеки, захисту населення і територій Житомирської області від надзвичайних ситуацій на 2021-2025 роки</t>
  </si>
  <si>
    <t>Департамент охорони здоров’я Житомирської обласної державної адміністрації</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</si>
  <si>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</si>
  <si>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</si>
  <si>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0611021</t>
  </si>
  <si>
    <t>0611022</t>
  </si>
  <si>
    <t>0611023</t>
  </si>
  <si>
    <t>0611031</t>
  </si>
  <si>
    <t>0611032</t>
  </si>
  <si>
    <t>0611033</t>
  </si>
  <si>
    <t>Підготовка кадрів закладами професійної (професійно-технічної) освіти та іншими закладами освіти за рахунок коштів місцевого бюджету</t>
  </si>
  <si>
    <t>Підготовка кадрів закладами професійної (професійно-технічної) освіти та іншими закладами освіти за рахунок освітньої субвенції</t>
  </si>
  <si>
    <t>0611091</t>
  </si>
  <si>
    <t>0611092</t>
  </si>
  <si>
    <t>0611100</t>
  </si>
  <si>
    <t>Підготовка кадрів закладами фахової передвищої освіти за рахунок коштів місцевого бюджету</t>
  </si>
  <si>
    <t>Підготовка кадрів закладами фахової передвищої освіти за рахунок освітньої субвенції</t>
  </si>
  <si>
    <t>0611101</t>
  </si>
  <si>
    <t>0611102</t>
  </si>
  <si>
    <t>0611142</t>
  </si>
  <si>
    <t>0711100</t>
  </si>
  <si>
    <t>0711101</t>
  </si>
  <si>
    <t>0711102</t>
  </si>
  <si>
    <t>0711110</t>
  </si>
  <si>
    <t>1011101</t>
  </si>
  <si>
    <t>1011102</t>
  </si>
  <si>
    <t>Співфінансування на проєкт "Поточний середній ремонт автомобільної дороги загального користування місцевого значення С062209 Забріддя-Городище км 0+000-км1+540, Житомирська область  (коригування)"</t>
  </si>
  <si>
    <t>Надання загальної середньої освіти за рахунок освітньої субвенції</t>
  </si>
  <si>
    <t>0211120</t>
  </si>
  <si>
    <t xml:space="preserve">Співфінансування капітального ремонту дороги С061601 (Квітневе-Кошляки) </t>
  </si>
  <si>
    <t>Усього по місцевих бюджетах:</t>
  </si>
  <si>
    <t xml:space="preserve">                 Субвенції з місцевих бюджетів до обласного бюджету на співфінансування інвестиційних проектів на 2021 рік</t>
  </si>
  <si>
    <t>Загальний фонд +Спеціальний фонд (Додаток 1)</t>
  </si>
  <si>
    <t>Загальний фонд +Спеціальний фонд (Додаток 5Д)</t>
  </si>
  <si>
    <t>додаток 5 видатки</t>
  </si>
  <si>
    <t>1100</t>
  </si>
  <si>
    <t xml:space="preserve">Утримання та забезпечення діяльності центрів соціальних служб </t>
  </si>
  <si>
    <t>1011100</t>
  </si>
  <si>
    <t>Придбання комплектів меблів для Баранівського закладу дошкільної освіти комбінованого типу "Сонечко"</t>
  </si>
  <si>
    <t>Придбання дитячого  майданчика  для встановлення на території Баранівської міської ради</t>
  </si>
  <si>
    <t>Фінансова підтримка регіональних всеукраїнських об"єднань фізкультурно-спортивної спрямованості для проведення навчально-тренувальної та спортивної роботи</t>
  </si>
  <si>
    <t>Фінансова підтримка регіональних осередків всеукраїнських об"єднань фізкультурно-спортивної спрямованості у здійсненні фізкультурно-масових заходів серед населення регіону</t>
  </si>
  <si>
    <t>Фінансова підтримка на утримання місцевих осередків (рад) всеукраїнських об"єднань фізкультурно-спортивної спрямованості</t>
  </si>
  <si>
    <t>Фінансова підтримка КП "Футбольний клуб "Полісся" Житомирської міської ради</t>
  </si>
  <si>
    <t>2011-2020</t>
  </si>
  <si>
    <t>Медичне обладнання для КНП "Амбулаторія ЗПСМ Барашівської сільської ради"</t>
  </si>
  <si>
    <t>Капітальний ремонт даху адмінбудівлі Яблунецької селищної ради в с.Яблунець Ємільчинського району Житомирської області</t>
  </si>
  <si>
    <t>Придбання ігрового майданчика, який буде встановлено на  Майданчику  для проведення загально-міських заходів міського палацу культури ім.Шабельника О.А. за адресою: пл.Мистецька,1</t>
  </si>
  <si>
    <t>Будівництво спортивного майданчика з м'яким покриттям на території Навчально-виховного комплексу "Школа-гімназія-ліцей" №10 м.Бердичева Житомирської області</t>
  </si>
  <si>
    <t>Поточний ремонт центрального ганку СЗОШ № 17 за адресою: м. Бердичів, вул. П.Комуни, 49</t>
  </si>
  <si>
    <t>Поточний ремонт травматологічного відділення КНП "Бердичівська міська лікарня" Бердичівської міської ради</t>
  </si>
  <si>
    <t>Придбання медичного обладнання для малоінвазивної хірургії для КНП "Бердичівська міська лікарня" Бердичівської міської ради</t>
  </si>
  <si>
    <t>Придбання стільців в сесійну залу Брониківської сільської ради</t>
  </si>
  <si>
    <t>Придбання медикаментів, виробів медичного призначення, засобів індивідуального захисту для КНП "Брусилівська лікарня"</t>
  </si>
  <si>
    <t>Придбання медикаментів, виробів медичного призначення, засобів індивідуального захисту для КНП "Центр первинної медико-санітарної допомоги" Брусилівської селищної ради</t>
  </si>
  <si>
    <t>Придбання дитячого ігрового майданчика, який буде встановлений на території Лазарівського НВК "ЗНЗ  I-III ступенів - ДНЗ" Брусилівської селищної ради</t>
  </si>
  <si>
    <t>Придбання комп"ютерного обладнання для закладів освіти Високівської сільської ради</t>
  </si>
  <si>
    <t>Підсипка та грейдерування доріг у с.Межирічка</t>
  </si>
  <si>
    <t xml:space="preserve">Придбання та облаштування спортивного майданчика для с.Глибочиця </t>
  </si>
  <si>
    <t xml:space="preserve">Облаштування спортивного майданчика тренажерами </t>
  </si>
  <si>
    <t>Благоустрій доріг Городоцької селищної ради</t>
  </si>
  <si>
    <t>Придбання музичного та комп'ютерного устаткування для Городоцького будинку дитячої творчості</t>
  </si>
  <si>
    <t>Придбання дитячого ігрового майданчика</t>
  </si>
  <si>
    <t>Облаштування території (укладання тротуарної плитки) Рейського ЗЗСО 1-111 ст.</t>
  </si>
  <si>
    <t>Ремонт приміщення Довбиського Будинку культури</t>
  </si>
  <si>
    <t xml:space="preserve">Придбання меблів для Дубрівського ЗДО </t>
  </si>
  <si>
    <t>Придбання меблів та оргтехніки в заклад дошкільної освіти №3 "Веселка"</t>
  </si>
  <si>
    <t>Капітальний ремонт їдальні Підлубівського ЗЗСО І-ІІІ ступенів</t>
  </si>
  <si>
    <t>Придбання мультимедійного комплексу для Середівського ЗЗСО І-ІІІ ступенів (капітальні видатки)</t>
  </si>
  <si>
    <t>Поточний ремонт електропроводки Кулішівського ЗЗСО І-ІІІ ступенів</t>
  </si>
  <si>
    <t>Придбання смарт-телевізорів для Великоцвілянської ЗЗСО І-ІІІ ступенів та Хутір-Мокляківської філії комунальної установи опорного закладу освіти Ємільчинський ЗЗСО І-ІІІ ступенів №1 (капітальні видатки)</t>
  </si>
  <si>
    <t>Капітальний ремонт території благоустрою центральної алеї бульвару Польського в м.Житомирі (в т.ч. виготовлення ПКД)</t>
  </si>
  <si>
    <t>Придбання 3-х дерев'яних альтанок для встановлення на дитячих майданчиках закладу Житомирського ДНЗ №15</t>
  </si>
  <si>
    <t>Придбання лазерного принтеру та двох ноутбуків для ДНЗ №6</t>
  </si>
  <si>
    <t>Придбання ноутбука (14020), багатофункціонального кольорового друкуючого пристрою (5980) для ЗОШ  I-III ступенів №15 м. Житомира</t>
  </si>
  <si>
    <t>Реконструкція території благоустрою з організацією скверу "Музей каменю Житомирщини" в м. Житомирі</t>
  </si>
  <si>
    <t>Придбання та встановлення дитячо-спортивного майданчика за адресою проспект Миру,9</t>
  </si>
  <si>
    <t>Придбання 2 ноутбуків для Житомирського дошкільного навчального закладу №15</t>
  </si>
  <si>
    <t xml:space="preserve">Придбання для потреб класів шкільних стільців для загальноосвітньої школи І-ІІІ ступенів №1 м.Житомир </t>
  </si>
  <si>
    <t>Придбання багатофункціонального лазерного пристрою та ноутбуку для Житомирського дошкільного навчального закладу №6</t>
  </si>
  <si>
    <t>Придбання документ-камери і диванів для рекреації ІІ поверху  ЗОШ І-ІІІ ступенів №32 м. Житомира</t>
  </si>
  <si>
    <t>Придбання електром"ясорубки для харчоблоку Житомирського дошкільного навчального закладу №52</t>
  </si>
  <si>
    <t xml:space="preserve">Придбання вікна в молодшу групу для Житомирської початкової школи №11 </t>
  </si>
  <si>
    <t>Ремонт та облаштування ресурсної кімнати в Іршанському ліцеї</t>
  </si>
  <si>
    <t>Поточні видатки для буріння пошукової свердловини на воду та облаштування її глибинним насосом</t>
  </si>
  <si>
    <t>Поточний ремонт мереж вуличного освітлення на території населених пунктів Коростенської міської територіальної громади</t>
  </si>
  <si>
    <t>Будівництво бюветів на території населених пунктів міської територіальної громади</t>
  </si>
  <si>
    <t>Проведення благоустрою міста</t>
  </si>
  <si>
    <t xml:space="preserve">Придбання та встановлення дитячого  майданчика </t>
  </si>
  <si>
    <t xml:space="preserve">Придбання спортивного інвентарю </t>
  </si>
  <si>
    <t>Будівництво бюветів на території населених пунктів с.Михайлівка, с.Холосне, с.Нивки</t>
  </si>
  <si>
    <t>Придбання обладнання та меблів для відділення екстреної медичної допомоги КНП "Коростишівська ЦРЛ ім.Д.І.Потєхіна"</t>
  </si>
  <si>
    <t>Поточний ремонт водонапірної башти у смт.Іванопіль</t>
  </si>
  <si>
    <t>Придбання автобусних зупинок у селах Краснопіль, Молочки, Суслівка, Носівки</t>
  </si>
  <si>
    <t>Ремонт вуличного освітлення села Зелена Діброва</t>
  </si>
  <si>
    <t xml:space="preserve">Придбання обладнання для облаштування дитячого ігрового майданчика для Слобідського закладу дошкільної освіти "Малятко" </t>
  </si>
  <si>
    <t>Придбання стільців для актової зали та меблів для Будинку дитячої творчості Лугинської селищної ради</t>
  </si>
  <si>
    <t>Придбання спортивного устаткування для Лугинської ЗОШ І-ІІІ ст.№2</t>
  </si>
  <si>
    <t>Придбання дитячого ігрового майданчика в смт Лугини</t>
  </si>
  <si>
    <t xml:space="preserve">Поточний ремонт будівлі Червоноволоцького будинку культури </t>
  </si>
  <si>
    <t xml:space="preserve">Придбання та встановлення енергозберігаючих вікон та зовнішніх вхідних дверей для Липниківської ЗОШ 1-111 ступенів </t>
  </si>
  <si>
    <t>Придбання сценічного взуття для Липниківського будинку культури</t>
  </si>
  <si>
    <t>Закупівля медикаментів та виробів медичного призначення для КНП "Лугинський центр первинної медико-санітарної допомоги"</t>
  </si>
  <si>
    <t>Придбання шкільних меблів (шкільні шкафстінки, парти та стільці учнівські) для Лугинської гімназії ім. В.П.Фількова</t>
  </si>
  <si>
    <t>Придбання оргтехніки для Кремненської ЗОШ 1-111 ступенів</t>
  </si>
  <si>
    <t>Придбання капнографа та моніторів пацієнта для КНП "Любарська лікарня" Любарської селищної ради Житомирської області</t>
  </si>
  <si>
    <t>Придбання штучного покриття закритого типу футбольного поля розміром 20м*40м в с.Стара Чортория</t>
  </si>
  <si>
    <t>Придбання дитячого майданчика "Містечко"</t>
  </si>
  <si>
    <t>Придбання 8 дитячих майданчиків для с.Юрівка, с.Березівка, с.Бичева, с.Вигнанка, с.Пединки, с.Веселка, с.Меленці, с.Горопаї</t>
  </si>
  <si>
    <t xml:space="preserve">Реконструкція електричних мереж вуличного освітлення по вул.Миру, Партизанська, Польова, Космонавтів в с.Михайлівка </t>
  </si>
  <si>
    <t>Реконструкція електричних мереж вуличного освітлення по вул.Ватутіна, Петрівська, Зарічна, Лісова в с.Филинці</t>
  </si>
  <si>
    <t>Придбання лікарняних ліжок для КНП "Малинська міська лікарня" Малинської міської ради</t>
  </si>
  <si>
    <t>Придбання спортивно-реабілітаційного майданчика для дітей з інвалідністю, який буде встановлено на території Малинської міської ради</t>
  </si>
  <si>
    <t>Придбання дитячих ігрових майданчіків для дітей територіальної громади</t>
  </si>
  <si>
    <t>Придбання, встановлення та облаштування дитячого майданчика в с. Селець</t>
  </si>
  <si>
    <t>Придбання, встановлення та облаштування дитячого майданчика в с. Броднік</t>
  </si>
  <si>
    <t xml:space="preserve">Придбання дитячого ігрового майданчика в с.Гацьківка </t>
  </si>
  <si>
    <t>Придбання  ігрового майданчика для дітей з особливими освітніми потребами в Новоград-Волинський ДНЗ №13 "Ромашка"</t>
  </si>
  <si>
    <t>Придбання зі встановленням дитячо-спортивних майданчиків на території Новогуйвинської селищної в с. Троянів та с. Сінгури</t>
  </si>
  <si>
    <t>Придбання зі встановленням спортивного майданчика на території Новогуйвинської селищної ради в смт.Озерне</t>
  </si>
  <si>
    <t>Капітальний ремонт приміщення Раківщинської філії ОЗО "Овруцький ЗЗСО І-ІІІ ст. № 4"</t>
  </si>
  <si>
    <t>Проведення ремонту системи опалення в ОЗО Бондарівський ЗЗСО І-ІІІ ступенів</t>
  </si>
  <si>
    <t>Капітальний ремонт приміщення ОЗО "Овруцька гімназія ім.А.Малишка"</t>
  </si>
  <si>
    <t>Капітальний ремонт приміщення сільської ради для влаштування закладу дошкільної освіти в с.Хочине (групи короткотривалого перебування дітей)</t>
  </si>
  <si>
    <t>Капітальний ремонт приміщень в КНП "Олевська ЦЛ" Олевської міської ради</t>
  </si>
  <si>
    <t>Поточний ремонт центру розвитку дитини №2 "Сонечко" м.Олевськ</t>
  </si>
  <si>
    <t>Медичне обладання для амбулаторії с.Троковичі</t>
  </si>
  <si>
    <t>Придбання дверей у початкові класи Піщівської загальноосвітньої школи І-ІІІ ст.</t>
  </si>
  <si>
    <t>Придбання меблів та оргтехніки для Середньодеражнянської ЗОШ I-II ст.</t>
  </si>
  <si>
    <t>Придбання комунальної техніки для Попільнянської селищної ради</t>
  </si>
  <si>
    <t>Придбання меблів для апарату Потіївської сільської ради</t>
  </si>
  <si>
    <t>Придбання будівельних матеріалів для поточного ремонту харчоблоку Кошелівської ЗОШ І-ІІІ ст.</t>
  </si>
  <si>
    <t>Придбання дитячого ігрового майданчика який буде встановлений на території Пулинської селищної територіальної громади</t>
  </si>
  <si>
    <t>Придбання вікон та будівельних матеріалів для поточного ремонту Пулино-Гутського сільського Будинку культури</t>
  </si>
  <si>
    <t>Поточний ремонт будинку за адресою смт. Пулини, вул. Шевченко,75 для ОСББ "Сонечко-75"</t>
  </si>
  <si>
    <t>Поточний ремонт будинку за адресою смт. Пулини, вул. Панаса Мирного,2  для ОСББ "Світанок 2019/8"</t>
  </si>
  <si>
    <t>Поточний ремонт будинку за адресою смт. Пулини, вул. Шевченко,73 для ОСББ "Сонечко-73"</t>
  </si>
  <si>
    <t>Поточний ремонт будинку за адресою смт. Пулини, вул. Шевченко,152 для ОСББ "Наш дім -152"</t>
  </si>
  <si>
    <t>Поточний ремонт доріг в старостинських округах Радомишльської міської ради (Пилиповицький, Осичківський, Ставецький, Лутівський, Борщівський, Кримоцький)</t>
  </si>
  <si>
    <t>Придбання матеріалів для встановлення огорожі в центрі села по Чайківському старостинському округу</t>
  </si>
  <si>
    <t>Придбання будівельних матеріалів та вхідних дверей з  фурнітурою для Краснобірського ЗДО "Золотий ключик"</t>
  </si>
  <si>
    <t>Придбання контейнерів для сміття по Краснобірському старостинському округу</t>
  </si>
  <si>
    <t>Придбання матеріалів для відновлення вуличного освітлення по Великорацькому старостинському округу</t>
  </si>
  <si>
    <t>Заміна вікон у сільському Будинку культури по Верлоцькому старостинському округу</t>
  </si>
  <si>
    <t>Реконструкція Соборного майдану у м.Радомишль,  Житомирської області (друга черга)</t>
  </si>
  <si>
    <t>Придбання будівельних матеріалів на клуб с.Кустин, Бердичівського району, Житомирської області</t>
  </si>
  <si>
    <t>Придбання будівельних матеріалів на ФАП с.Кустин, Бердичівського району, Житомирської області</t>
  </si>
  <si>
    <t>Придбання і встановлення 3-х дитячих спортивно-ігрових майданчиків у смт Романів, с. Ульянівка, с. Гордіївка,</t>
  </si>
  <si>
    <t>Придбання аналізатора сечі для КНП "ЦПМСД" Романівської селищної ради</t>
  </si>
  <si>
    <t>Поточний ремонт флюроографічного апарату КНП "Районна центральна лікарня"</t>
  </si>
  <si>
    <t>Придбання моніторів пацієнта для КНП "Районна центральна лікарня"</t>
  </si>
  <si>
    <t>Придбання електрокардіографа для КНП "Районна центральна лікарня"</t>
  </si>
  <si>
    <t>Капітальний ремонт приміщення селищно-районного центру надання адміністративних послуг, що розташоване за адресою: Житомирська область, смт Ружин, вул. Бірюкова, 2 (роботи по облаштуванню підвісних стель, шпаклювання стін, фарбування стін)</t>
  </si>
  <si>
    <t xml:space="preserve">Поточний ремонт подвір"я Великонизгірецької ЗОШ І-ІІІ ступенів </t>
  </si>
  <si>
    <t>Придбання стовпчиків та секцій залізобетонних  для огорожі Великонизгірецької ЗОШ І-ІІІ ступенів</t>
  </si>
  <si>
    <t>Придбання мультимедійного комплексу для Терехівської ЗОШ І-ІІ ступенів</t>
  </si>
  <si>
    <t>Заміна віконних блоків і каналізації у Листвинському закладі дошкільної освіти</t>
  </si>
  <si>
    <t>Капітальний ремонт благоустрою території Зарічанської ЗОШ І-ІІІ ст. за адресою: вул.Шкільна,3, с.Зарічани Житомирського району</t>
  </si>
  <si>
    <t xml:space="preserve">Придбання дитячого майданчику в с.Кодня </t>
  </si>
  <si>
    <t xml:space="preserve">Придбання дитячого майданчику в с.Ліщин </t>
  </si>
  <si>
    <t xml:space="preserve">Реконструкція Луківської ЗОШ I-III ст. </t>
  </si>
  <si>
    <t>Придбання медичних приладів та обладнання для КНУ "Центру первинної медико-санітарної допомоги" Тетерівської сільської ради</t>
  </si>
  <si>
    <t>Капітальний ремонт дорожнього покриття в с. Ушомир по вул. Першотравнева Коростенського району Житомирської області</t>
  </si>
  <si>
    <t>Придбання дитячого ігрового майданчика для села Червоногранітне Топорищенського старостинського округу</t>
  </si>
  <si>
    <t>Благоустрій територій с.Рижани Рижанського старостинського округу</t>
  </si>
  <si>
    <t xml:space="preserve">Придбання меблів для Рижанського ліцею </t>
  </si>
  <si>
    <t>Придбання дитячого ігрового майданчика для с.Рижани Рижанського старостинського округу</t>
  </si>
  <si>
    <t>Придбання обладнання для техніки по утриманню доріг та на  виготовлення проєкту, проведення експертизи по об"єкту "Капітальний ремонт спортивного майданчика (волейбол, баскетбол, теніс) за адресою: Житомирська область, Черняхівський район, с.Селянщина, вул.Творогова, 44"</t>
  </si>
  <si>
    <t xml:space="preserve">Придбання обладнання для техніки по утриманню доріг </t>
  </si>
  <si>
    <t>Придбання центрифуги для КНП "Центр первинної медико-санітарної допомоги"</t>
  </si>
  <si>
    <t>Придбання двох телевізорів для КНП "Центр первинної медико-санітарної допомоги"</t>
  </si>
  <si>
    <t>Придбання ноутбука для КНП "Центр первинної медико-санітарної допомоги"</t>
  </si>
  <si>
    <t>Придбання опромінювачів бактерицидних для КНП "Центр первинної медико-санітарної допомоги"</t>
  </si>
  <si>
    <t>Придбання медичного обладнання для КНП "Черняхівське ТМО"</t>
  </si>
  <si>
    <t>Придбання медичного обладнання для боротьби з короновірусною інфекцією COVID-19 для КНП "Черняхівське ТМО"</t>
  </si>
  <si>
    <t>Придбання обладання для дошкільних навчальних закладів Чижівської сільської ради</t>
  </si>
  <si>
    <t>Придбання для шкільної їдальні  Чижівської загальноосвітньої школи І-ІІІ ступенів посудомийної машини</t>
  </si>
  <si>
    <t xml:space="preserve">Придбання дитячого ігрового майданчика, який буде встановлено в смт Чоповичі </t>
  </si>
  <si>
    <t xml:space="preserve">Капітальний ремонт та реконструкція КНП "Чуднівська лікарня" </t>
  </si>
  <si>
    <t>Придбання робочих місць медичної інформаційної системи, комп"ютерної та іншої оргтехніки для КНП "Чуднівський центр первинної медико-санітарної допомоги"</t>
  </si>
  <si>
    <t>Придбання лабораторного обладнання та розхідного матеріалу для КНП "Чуднівський ЦПМСД"</t>
  </si>
  <si>
    <t>Закупівля технічних засобів навчання, комп'ютерної та оргтехніки для закладів загальної середньої освіти</t>
  </si>
  <si>
    <t xml:space="preserve">Придбання дитячого майданчика для села Демчин </t>
  </si>
  <si>
    <t>Придбання твердопаливного котла в Орепівський ДНЗ "Ромашка"</t>
  </si>
  <si>
    <t>Придбання ліхтарів  вуличного освітлення</t>
  </si>
  <si>
    <t>Інші субвенції з обласного бюджету місцевим бюджетам області</t>
  </si>
  <si>
    <t>Придбання лабораторного та медичного обладнання для КНП "Білокоровицька АЗ ПСМ" Білокоровицької сільської ради</t>
  </si>
  <si>
    <t>Субвенції з місцевих бюджетів до обласного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на 2021 рік</t>
  </si>
  <si>
    <t>Рішення обласної ради від 24.12.2020 № 15</t>
  </si>
  <si>
    <t>Рішення обласної ради від 24.12.2020 № 30</t>
  </si>
  <si>
    <t>Рішення обласної ради від 24.12.2020 № 17</t>
  </si>
  <si>
    <t>Рішення обласної ради від 24.12.2020 № 19</t>
  </si>
  <si>
    <t>Рішення обласної ради від 24.12.2020 № 20</t>
  </si>
  <si>
    <t>Рішення обласної ради від 24.12.2020 № 21</t>
  </si>
  <si>
    <t>Рішення обласної ради від 24.12.2020 № 22</t>
  </si>
  <si>
    <t>Рішення обласної ради від 24.12.2020 № 23</t>
  </si>
  <si>
    <t>Рішення обласної ради від 24.12.2020 № 24</t>
  </si>
  <si>
    <t>Рішення обласної ради від 24.12.2020 № 25</t>
  </si>
  <si>
    <t>Рішення обласної ради від 24.12.2020 № 27</t>
  </si>
  <si>
    <t>Рішення обласної ради від 24.12.2020 № 28</t>
  </si>
  <si>
    <t>Рішення обласної ради від 24.12.2020 № 31</t>
  </si>
  <si>
    <t xml:space="preserve">Обласна цільова Програма підтримки сімї, забезпечення гендерної рівності на 2021 рік </t>
  </si>
  <si>
    <t>Обласна цільова Програма запобігання, протидії домашньому насильству та торгівлі людьми на 2021 рік</t>
  </si>
  <si>
    <t xml:space="preserve">Програма економічного і соціального розвитку Житомирської області на 2021 рік </t>
  </si>
  <si>
    <t xml:space="preserve">Обласна програма «Розвиток молодіжної політики Житомирщини» на 2021-2025 роки </t>
  </si>
  <si>
    <t>Обласна цільова програма розвитку туризму в Житомирській області на 2021-2023 роки</t>
  </si>
  <si>
    <t xml:space="preserve">Програма охорони та збереження культурної спадщини
Житомирської області на 2021-2022 роки </t>
  </si>
  <si>
    <t>«Обласна комплексна програма розвитку фізичної культури і спорту" на 2021-2024 роки</t>
  </si>
  <si>
    <t>Інші програми, заклади та заходи у сфері освіти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</si>
  <si>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</si>
  <si>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придбання житла</t>
  </si>
  <si>
    <t>Співфінансування проєкту "Олевська гімназія по вул.Інтернаціональній, 34 в м.Олевськ Житомирської області - будівництво (коригування)"</t>
  </si>
  <si>
    <t xml:space="preserve">Співфінансування проєкту "Нове будівництво дитячого садочку за адресою: вул.Соборна, 30, смт Чоповичі Малинського району Житомирської області. Коригування" </t>
  </si>
  <si>
    <t>2020-2021</t>
  </si>
  <si>
    <t>Реконструкція лікувального корпусу (дитяче відділення) в обласному протитуберкульозному диспансері Житомирської обласної ради під інфекційне відділення за адресою: смт. Гуйва, вул. Бердичівська, 64 Житомирського району Житомирської області</t>
  </si>
  <si>
    <t>2020-2022</t>
  </si>
  <si>
    <t>62</t>
  </si>
  <si>
    <t>78</t>
  </si>
  <si>
    <t>57</t>
  </si>
  <si>
    <t>24</t>
  </si>
  <si>
    <t>Співфінансування проєкту "Реконструкція Новоборівського загальноосвітнього навчального закладу I-III ступенів - ліцею по вул. Освіти, 7 смт Нова Борова, Хорошівського району, Житомирської області (Коригування)"</t>
  </si>
  <si>
    <t>Співфінансування проєкту "Реконструкція термомодернізація Новоборівського Центру розвитку дитини "Сонечко"  по вул. Незалежності, 26а, смт Нова Борова, Хорошівського району, Житомирської області. Коригування"</t>
  </si>
  <si>
    <t>Додаток 1.2</t>
  </si>
  <si>
    <t>89</t>
  </si>
  <si>
    <t>96</t>
  </si>
  <si>
    <t>Рішення обласної ради від 23.12.2016 № 418, із змінами</t>
  </si>
  <si>
    <t>Програма забезпечення депутатської діяльності, проведення конкурсів та нагород Житомирської обласної ради на 2021 рік</t>
  </si>
  <si>
    <t xml:space="preserve">Обласна Програма  «Здоров’я населення Житомирщини» на 2021 рік
</t>
  </si>
  <si>
    <t>Обласна програма з національно-патріотичного виховання дітей та молоді на 2018-2021 роки</t>
  </si>
  <si>
    <t xml:space="preserve">Програма соціальної підтримки учасників АТО/ООС, родин загиблих, померлих, зниклих безвісти учасників АТО/ООС та Героїв Небесної Сотні на 2021 рік </t>
  </si>
  <si>
    <t>Обласна програма охорони навколишнього природного середовища в Житомирській області на 2018-2022 роки</t>
  </si>
  <si>
    <t>Програма розвитку дорожньої інфраструктури і фінансування робіт, пов'язаних із реконструкцією, ремонтом та утриманням автомобільних доріг в Житомирській області на 2019-2021 роки</t>
  </si>
  <si>
    <t>Співфінансування на проєкт " Поточний середній ремонт автомобільної дороги загального користування місцевого значення С060659 Гадзинка-Городище км 1+000-км 3+000, Житомирська область (коригування)"</t>
  </si>
  <si>
    <t>53</t>
  </si>
  <si>
    <t>Служба у справах дітей Житомирської обласної жержавної адміністрації</t>
  </si>
  <si>
    <t>Служба у справах дітей Житомирської обласної державної адміністрації</t>
  </si>
  <si>
    <t>Придбання і встановлення чотирьох дитячих ігрових майданчиків у с.Короченки, с.Дідківці, с.Красноволиця та м.Чуднів Житомирського району Житомирської області</t>
  </si>
  <si>
    <t xml:space="preserve">від                      № </t>
  </si>
  <si>
    <t>КНП "Житомирська обласна дитяча клінічна лікарня" для придбання металопластикових вікон та дверей</t>
  </si>
  <si>
    <t>КНП "Житомирська обласна дитяча клінічна лікарня" для придбання кондиціонеру</t>
  </si>
  <si>
    <t>На облаштування соляної кімнати Радомишльській санаторній школі</t>
  </si>
  <si>
    <t>На проведення ремонтних робіт бокової стінки навчального корпусу №2 Радомишльського професійного ліцею</t>
  </si>
  <si>
    <t>Співфінансування придбання шкільного автобуса для ОНЗ "Квітнева ЗОШ I-III ступенів"</t>
  </si>
  <si>
    <t>Реконструкція Комунального некомерційного підприємства "Коростенська центральна міська клінічна лікарня Коростенської міської ради" з будівництвом Хірургічного корпусу по вулиці Амосова Миколи, 8 в м. Коростень (1 пусковий комплекс - приймальне відділення екстреної медичної допомоги)</t>
  </si>
  <si>
    <t>співфінансування на "Реконструкція стадіону "Юність" в м. Овруч Житомирської області</t>
  </si>
  <si>
    <t>Співфінансування проєкту "Реконструкція майнового комплексу стадіону "Колос" по вул. Промислова, 8-а в м. Олевськ, Житомирська область" (коригування)</t>
  </si>
  <si>
    <t>Співфінансування по об'єкту "Амбулаторія на 1-2 лікаря з житлом по вул. Соборна, 23 у с. Райгородок Бердичівського району Житомирської області - будівництво"</t>
  </si>
  <si>
    <t>Надходження від орендної плати за користування майновим комплексом та іншим майном, що перебуває в комунальній власності</t>
  </si>
  <si>
    <t xml:space="preserve">                Інші субвенції з місцевих бюджетів до обласного бюджету на 2021 рік</t>
  </si>
  <si>
    <t>Обласна програма оздоровлення та відпочинку дітей на 2021-2022 роки</t>
  </si>
  <si>
    <t>Рішення обласної ради від 24.12.2020 № 29</t>
  </si>
  <si>
    <t>2713242</t>
  </si>
  <si>
    <t>0711104</t>
  </si>
  <si>
    <t>Підготовка кадрів закладами фахової передвищої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</si>
  <si>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Департамент освіти і науки Житомирської обласної державної адміністрації</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</si>
  <si>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</si>
  <si>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</si>
  <si>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0611062</t>
  </si>
  <si>
    <t>0611063</t>
  </si>
  <si>
    <t>0611040</t>
  </si>
  <si>
    <t>0611046</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</si>
  <si>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</si>
  <si>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Централізовані заходи у сфері освіти</t>
  </si>
  <si>
    <t>0611190</t>
  </si>
  <si>
    <t>0611192</t>
  </si>
  <si>
    <t>0611210</t>
  </si>
  <si>
    <t>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</si>
  <si>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</si>
  <si>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</si>
  <si>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</si>
  <si>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</si>
  <si>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1610180</t>
  </si>
  <si>
    <t>Субвенція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</si>
  <si>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1046</t>
  </si>
  <si>
    <t>Програма розвитку системи освіти Житомирської області на 2021-2025 роки</t>
  </si>
  <si>
    <t>1210</t>
  </si>
  <si>
    <t>Обласна комплексна програма розвитку фізичної культури і спорту на 2021-2024 роки</t>
  </si>
  <si>
    <t>Програма охорони та збереження культурної спадщини Житомирської області на 2021-2022 роки</t>
  </si>
  <si>
    <t xml:space="preserve"> Комплексна Програма забезпечення пожежної та техногенної безпеки, захисту населення і територій Житомирської області від надзвичайних ситуацій на 2021-2025 роки.</t>
  </si>
  <si>
    <t>Програма надання матеріально-технічної 
допомоги Житомирському обласному територіальному
центру комплектування та соціальної підтримки на 2021-2023 роки</t>
  </si>
  <si>
    <t>Рішення обласної ради від 24.12.2020 № 33</t>
  </si>
  <si>
    <t>Рішення обласної ради від 24.12.2020 № 18</t>
  </si>
  <si>
    <t>Додаток 1.3</t>
  </si>
  <si>
    <t>Програма проведення інвентаризації земель на території Житомирської області на 2021 рік</t>
  </si>
  <si>
    <t>9380</t>
  </si>
  <si>
    <t>Оснащення ЗНЗ з поглибленим вивченням природничих та математичних предметів (спеціалізованих шкіл (шкіл-інтернатів))  I-III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т.ч.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</si>
  <si>
    <t>Ремонт та придбання обладнання для їдалень (харчоблоків) закладів загальної середньої освіти</t>
  </si>
  <si>
    <t>Будівництво освітніх установ та закладів</t>
  </si>
  <si>
    <t xml:space="preserve">Реконструкція частини будівлі ЗОШ №13 під туалет з надбудовою другого поверху по вул. Селезньова, 101 в м.Коростені </t>
  </si>
  <si>
    <t>Будівництво медичних установ та закладів</t>
  </si>
  <si>
    <t>2019-2022</t>
  </si>
  <si>
    <t>2011-2023</t>
  </si>
  <si>
    <t>Будівництво споруд, установ та закладів фізичної культури і спорту</t>
  </si>
  <si>
    <t>Будівництво інших об"єктів комунальної власності</t>
  </si>
  <si>
    <t>Реконструкція частини Майдану Соборного у м. Житомирі зі встановлення флагштоку Державного прапору України (виготовлення проектно-кошторисної документації)</t>
  </si>
  <si>
    <t>Реконструкція приміщень обласної клінічної лікарні ім. О.Ф.Гербачевського під відділення анастезіології та інтенсивної терапії для післяопераційних хворих, відділення неврології з нейрореанімацією по вул. Червоного Хреста,3 у м. Житомирі (коригування)</t>
  </si>
  <si>
    <t xml:space="preserve">Капітальний ремонт будівлі басейну Житомирської дитячо-юнацької спортивної школи "Авангард" за адресою: Старий Бульвар, 9 в м.Житомирі" </t>
  </si>
  <si>
    <t>Нове будівництво дитячого садочку за адресою: вул. Соборна, 30,  смт. Чоповичі Малинського району Житомирської області. Коригування</t>
  </si>
  <si>
    <t>Реконструкція Новоборівського загальноосвітнього навчального закладу І-ІІІ ступенів-ліцею по  вул. Освіти, 7 смт Нова Борова, Хорошівського району, Житомирської області (Коригування)</t>
  </si>
  <si>
    <t>97</t>
  </si>
  <si>
    <t>Реконструкція термомодернізація Новоборівського Центру розвитку дитини "Сонечко" по вул. Незалежності, 26а, смт. Нова Борова, Хорошівського району, Житомирської області. Коригування</t>
  </si>
  <si>
    <t>Олевська гімназія по вул. Інтернаціональній, 34 в м. Олевськ Житомирської області - будівництво (коригування)</t>
  </si>
  <si>
    <t>Реконструкція майнового комплексу стадіону "Колос" по вул.Промислова, 8-а в м.Олевськ, Житомирська область" (коригування)</t>
  </si>
  <si>
    <t>2018- 2021</t>
  </si>
  <si>
    <t>Амбулаторія на 1-2 лікаря з житлом по вул. Центральна, 6 у с. Підлуби Ємільчинського району Житомирської області - будівництво (Коригування)</t>
  </si>
  <si>
    <t xml:space="preserve">Амбулаторія на 1-2 лікаря з житлом по вул. Центральній,4а у с. Курне Пулинського району  - будівництво. </t>
  </si>
  <si>
    <t>Виготовлення проектно-кошторисної документації по об"єкту "Ремонтно-реставраційні роботи меморіального будинку - музею академіка С.П.Корольова за адресою вул. Дмитрівська, 5 у м.Житомир"</t>
  </si>
  <si>
    <t>Виготовлення проектно-кошторисної документації по об"єкту "Капітальний ремонт музею космонавтики ім. С.П. Корольова за адресою вул. Дмитрівська, 2 м. Житомир"</t>
  </si>
  <si>
    <t>б/р</t>
  </si>
  <si>
    <t>дод 3</t>
  </si>
  <si>
    <t>дод7</t>
  </si>
  <si>
    <t>дод3=дод7</t>
  </si>
  <si>
    <t>на придбання жалюзі в кабінет англійської мови для Корнинського опорного освітнього закладу І-ІІІст. Корнинської селищної ради</t>
  </si>
  <si>
    <t>на придбання ігрового майданчику для Вільнянського ЗДО Коростишівської міської ради</t>
  </si>
  <si>
    <t xml:space="preserve">на придбання медичного та лабораторного обладнання для КНП "Олевська ЦЛ" </t>
  </si>
  <si>
    <t>на придбання меблів в Лугинський заклад дошкільної освіти "Сонечко"</t>
  </si>
  <si>
    <t>на придбання медикаментів та виробів медичного призначення для КНП "Лугинський ЦПМСД"</t>
  </si>
  <si>
    <t>на поточний ремонт фельдшерських пунктів с. Остапи, с. Красностав КНП «Лугинський ЦПМСД»</t>
  </si>
  <si>
    <t>на придбання спортивного інвентарю для ГО ФК "Миропіль"</t>
  </si>
  <si>
    <t>на проведення косметичного ремонту кімнати старости Попільнянського старостинського округу</t>
  </si>
  <si>
    <t>на придбання меблів для ОНЗ "Лелечки" с. Квітневе</t>
  </si>
  <si>
    <t>на придбання спортивного майданчика для дітей Семенівської ТГ</t>
  </si>
  <si>
    <t>на придбання телевізора для Пісківської ЗОШ І-ІІІ ст.</t>
  </si>
  <si>
    <t>на поточний ремонт ФАПу в с. Горбове</t>
  </si>
  <si>
    <t>на придбання форми танцювальному колективу "Кутищаночка" та на оплату транспортних витрат для КЗ Кутищанський сільський клуб</t>
  </si>
  <si>
    <t>на придбання світильників для КЗ "Любарський ОЗЗСО І-ІІІ ст. №2</t>
  </si>
  <si>
    <t>на придбання пральної машини в заклад дошкільної освіти для Юрівського навчально-виховного комплексу "Загальноосвітнього навчального закладу І-ІІ ст - закладу дошкільної освіти " Любарської селищної ради</t>
  </si>
  <si>
    <t>придбання спортивного інвентарю для КЗ «Опорний заклад Любарська гімназія №1» Любарської селищної ради</t>
  </si>
  <si>
    <t>на придбання ноутбуків в кабінет світової літератури, хімії, фізики Привітівської ЗОШ І-ІІІ ст.</t>
  </si>
  <si>
    <t>на придбання матеріалів для  харчоблоку Старочорторийського ЗДО</t>
  </si>
  <si>
    <t>на придбання дверей для комп"ютерного класу Стрижівського ОЗЗСО І-ІІІ ст.</t>
  </si>
  <si>
    <t>на придбання світильників на енергозберігаюче світлодіодне освітлення для Івановицької ЗОШ І-ІІІ ст.</t>
  </si>
  <si>
    <t xml:space="preserve"> на придбання матеріалів для заміни труб водомережі в дитячому відділенні КНП "Радомишльська лікарня"</t>
  </si>
  <si>
    <t>на оплату робіт по поточному ремонту водогінної мережі дитячому відділенні КНП "Радомишльська лікарня"</t>
  </si>
  <si>
    <t>на придбання насосного агрегату для Чуднівського КП "Теплокомуненерго"</t>
  </si>
  <si>
    <t>на придбання лампочок для вуличного освітлення для Чуднівського КП "Благоустрій"</t>
  </si>
  <si>
    <t>на придбання телевізорів для Мирославського ЗЗСО І-ІІІ ст. ім. О.І. Онишка Бердичівського району</t>
  </si>
  <si>
    <t>на придбання  ноутбука для ДНЗ "Житомирське вище професійне технологічне училище"</t>
  </si>
  <si>
    <t xml:space="preserve">на придбання промислової сковороди для Житомирського ДНЗ №6 </t>
  </si>
  <si>
    <t>на придбання предметів, матеріалів, обладнання та інвентарю для Житомирського ДНЗ №33</t>
  </si>
  <si>
    <t>на зміцнення матеріально-технічної бази (придбання обладнання і матеріалів) для Гульського ЗДО "Веселка" Новоград-Волинського району</t>
  </si>
  <si>
    <t>на придбання спортивного одягу, інвентарю, товарів, захисних головних уборів, таймерів для відділення боксу Бердичівської дитячо-юнацької спортивної школи ім. В.О. Лонського</t>
  </si>
  <si>
    <t>на проведення легкоатлетичних змагань -ХXVII Міжнародних змагань зі стрибків у висоту "XVII Меморіал В.О. Лонського" у місті Бердичеві</t>
  </si>
  <si>
    <t>на придбання посудомийної машини для шкільної їдальні Коростенської ЗОШ І-ІІІ ст. №1 з поглибленим вивченням іноземних мов</t>
  </si>
  <si>
    <t>на заміну (придбання та встановлення) дверей в ліцеї с.Васьковичі</t>
  </si>
  <si>
    <t>на придбання будівельних матеріалів для КНП ЦПМСД Коростенської міської ради</t>
  </si>
  <si>
    <t>на придбання обладнання для сенсорної кімнати Озерненського Центру розвитку дитини "Сонячний теремок"</t>
  </si>
  <si>
    <t>на роботи, пов"язані з аналізом поточного стану громади для Новогуйвинської селищної ради</t>
  </si>
  <si>
    <t>на придбання дверей для Врублівського ЗДО "Сонечко"</t>
  </si>
  <si>
    <t>на придбання комп"ютерної техніки для Романівського ЗДО №1 "Сонечко"</t>
  </si>
  <si>
    <t>на придбання набору побутових електро-бензо інструментів для Черняхівської гімназії</t>
  </si>
  <si>
    <t>на придбання ланцюгової бензопили для Видиборського ліцею інформаційних технологій</t>
  </si>
  <si>
    <t>на придбання класної дошки та багатофункціонального телевізора для початкової школи Черняхівської ЗОШ І-ІІІ ст.</t>
  </si>
  <si>
    <t>на придбання принтера для 2-Б класу Головинської гімназії</t>
  </si>
  <si>
    <t>проведення заходів з оздоровлення та відпочинку дітей, які постраждали внаслідок ЧАЕС у дитячих закладах оздоровлення санаторного типу Житомирської області</t>
  </si>
  <si>
    <t>Проведення ремонтних робіт у Малій академії народних мистецтв та ремесел</t>
  </si>
  <si>
    <t>Придбання та встановлення насосного обладнання  КНС с.Михайлівка</t>
  </si>
  <si>
    <t>Реконструкція електричних мереж вуличного освітлення по вулиці Коцюбинського та провулку Коцюбинського в селі Юрівка Любарського району Житомирської області</t>
  </si>
  <si>
    <t>Поточний ремонт другого поверху приміщення закладу дошкільної освіти "Веселка" в с.Березівка</t>
  </si>
  <si>
    <t>Придбання оргтехніки (принтерів) для Довбиської ЗОШ І-ІІІ ст.</t>
  </si>
  <si>
    <t>Придбання телевізора для ЗДО "Сонечко"</t>
  </si>
  <si>
    <t>Придбання спортивного інвентаря для Баранівської ДЮСШ</t>
  </si>
  <si>
    <t>Придбання спортивного інвентаря для Смолдирівської ЗОШ І-ІІІ ст.</t>
  </si>
  <si>
    <t xml:space="preserve">Придбання спортивного інвентаря для Баранівського ліцею № 1 </t>
  </si>
  <si>
    <t>Придбання спортивного інвентаря для Баранівського ліцею № 2</t>
  </si>
  <si>
    <t>Придбання спортивного інвентаря для Першотравенського ліцею</t>
  </si>
  <si>
    <t>Придбання спортивного інвентаря для Кашперівської ЗОШ І-ІІІ ст.</t>
  </si>
  <si>
    <t>Поточний ремонт ФАПу у с. Бистрик</t>
  </si>
  <si>
    <t>Придбання дитячого майданчика</t>
  </si>
  <si>
    <t>Встановлення дитячого майданчика в смт Городок</t>
  </si>
  <si>
    <t>Облаштування благоустрою парку (придбання кованих садових лавок) в м. Коростишів</t>
  </si>
  <si>
    <t>Капітальний ремонт частини цілісного майнового комплексу (відділень п"ятого поверху центрального корпусу) Комунальне некомерційне підприємство "Коростенська  центральна районна лікарня" Ушомирської сільської ради по вул.Жмаченка,46 м.Коростень Житомирської області</t>
  </si>
  <si>
    <t>Придбання дверей для Іванковецької ЗОШ І-ІІІ ступенів</t>
  </si>
  <si>
    <t>Придбання меблів, предметів та матеріалів в заклад дошкільної освіти у с.Велика Цвіля</t>
  </si>
  <si>
    <t>Капітальний ремонт (заміна віконних блоків) у ліцеї № 11 м. Новограда-Волинського, вул. Співдружності, 3/8 в м.Новограді-Волинському Житомирської області</t>
  </si>
  <si>
    <t>Придбання обладнання для облаштування дитячого ігрового майданчика в с.Соколів</t>
  </si>
  <si>
    <t xml:space="preserve">Придбання, встановлення та облаштування дитячого майданчика для закладу дошкільної освіти в с. Висока Піч </t>
  </si>
  <si>
    <t>Придбання комплектуючих до ліхтарів вуличного освітлення</t>
  </si>
  <si>
    <t>Благоустрій прилеглої території біля пам"ятника Івана Виговського в с.Вигів</t>
  </si>
  <si>
    <t>Поточний ремонт водогону з влаштуванням трубчастого колодязя Киківської ЗОШ І-ІІІ ступенів в с.Кикова Новоград-Волинського району Житомирської області</t>
  </si>
  <si>
    <t xml:space="preserve">Реконструкція частини території благоустрою з встановленням дитячого майданчика за адресою: м.Житомир, вул. Чехова, 35 (в т.ч. виготовлення ПКД) </t>
  </si>
  <si>
    <t>Придбання, встановлення та облаштування дитячих майданчиків в с. Тепениця, вул. Левчука, 39 а</t>
  </si>
  <si>
    <t xml:space="preserve">Придбання, встановлення та облаштування дитячих майданчиків в с. Сущани, вул.Шепетька, 17а </t>
  </si>
  <si>
    <t>Придбання, встановлення та облаштування дитячих майданчиків в с.Копище, вул. Партизанська, 52 в</t>
  </si>
  <si>
    <t>Придбання , встановлення та облаштування вуличних тренажерів в с.Лопатичі, вул. Гагаріна, 61</t>
  </si>
  <si>
    <t>Придбання , встановлення та облаштування вуличних тренажерів в с. Жубровичі, вул. Шевченка, 13</t>
  </si>
  <si>
    <t>Придбання , встановлення та облаштування вуличних тренажерів в с. Кишин, вул. Житомирська, 63</t>
  </si>
  <si>
    <t>Капітальний ремонт спортивного майданчика з штучним покриттям за адресою: вул. Надії Мельниченко, 5 с. Краївщина Хорошівського району Житомирської області на території Краївщинського НВК "Дошкільний навчальний заклад-загальноосвітній навчальний заклад І-ІІІ ступенів"</t>
  </si>
  <si>
    <t>Капітальний ремонт дорожнього покриття вул.Весняна та вул. Любарська в с.Врублівка Романівського району Житомирської області</t>
  </si>
  <si>
    <t>Капітальний ремонт вулиці Жовтневої між будинками 28 та 34 і 5-й провулок Богдана Хмельницького в селі Пряжів</t>
  </si>
  <si>
    <t>на придбання дитячого майданчика в м. Малин</t>
  </si>
  <si>
    <t>на придбання мультимедійної дошки для КПСМНЗ "Пулинська школа мистецтв" Пулинської селищної ради</t>
  </si>
  <si>
    <t>Рішення обласної ради від 24.12.20 №20</t>
  </si>
  <si>
    <t>Програма забезпечення виконання Житомирською обласною державною адміністрацією повноважень, делегованих обласною радою на 2021-2022 роки</t>
  </si>
  <si>
    <t>Комплексна програма забезпечення охорони прав і свобод людини, протидії злочинності, підтримання публічної безпеки і порядку у Житомирській області на 2021-2025 роки</t>
  </si>
  <si>
    <t>Департамент соціального захисту населення Житомирської обласної державної адміністрації</t>
  </si>
  <si>
    <t>0619800</t>
  </si>
  <si>
    <t>Ремонт приміщення Будинку культури с.Вишевичі</t>
  </si>
  <si>
    <t>Облаштування пожежної сигналізації в Іршанському закладі дошкільної освіти Житомирської області</t>
  </si>
  <si>
    <t>Придбання обладнання в харчоблок Іршанського закладу дошкільної освіти</t>
  </si>
  <si>
    <t>Облаштування сільського стадіону с.Потіївка, вул.Центральна,31</t>
  </si>
  <si>
    <t xml:space="preserve">Облаштування стадіону в с.Висока Піч по вул. Воронкіна (придбання вуличних тренажерів) </t>
  </si>
  <si>
    <t>Благоустрій території АЗПСМ с. Дениші КНП "ЦПМСД"</t>
  </si>
  <si>
    <t>Поточний ремонт (облаштування піддашка) приміщення ЦНАП Тетерівської сільської ради</t>
  </si>
  <si>
    <t>Поточний ремонт огорожі ФАП с.Буки КНП "ЦПМСД" Тетерівської сільської ради</t>
  </si>
  <si>
    <t>Придбання лінолеуму для кабінету денного стаціонару, коридору та стерилізаційної кімнати для Стрижівської лікарської амбулаторії</t>
  </si>
  <si>
    <t>Придбання двох стільців з водонепроникним покриттям для Стрижівської лікарської амбулаторії</t>
  </si>
  <si>
    <t>Придбання небулайзера для Стрижівської лікарської амбулаторії</t>
  </si>
  <si>
    <t>Придбання 2 штативів для крапельниці для Стрижівської лікарської амбулаторії</t>
  </si>
  <si>
    <t>Придбання кушетки медичної металевої для Стрижівської лікарської амбулаторії</t>
  </si>
  <si>
    <t>Придбання wi-fi роутера для Стрижівської лікарської амбулаторії</t>
  </si>
  <si>
    <t>Придбання архівної шафи для Стрижівської лікарської амбулаторії</t>
  </si>
  <si>
    <t>Придбання мультимедійного обладнання (проектор -3000, екран для проектора настінний -2000, ноутбук -13000, ламінатор -1000, стінка для іграшок -6000) для Стрижівського закладу дошкільної освіти Коростишівської міської ради</t>
  </si>
  <si>
    <t>Облаштування дитячого майданчика по вул. Соборна Площа в м. Коростишеві</t>
  </si>
  <si>
    <t>Придбання, встановлення та облаштування вуличних тренажерів в смт Дружба, вул.Центральна, 10</t>
  </si>
  <si>
    <t>Придбання, встановлення та облаштування вуличних тренажерів в с. Журжевичі, площа Центральна, 4</t>
  </si>
  <si>
    <t>Придбання, встановлення та облаштування дитячих майданчиків в м. Олевськ по вул. Київська,1</t>
  </si>
  <si>
    <t xml:space="preserve">Придбання, встановлення та облаштування дитячих майданчиків в с. Рудня-Хочинська, вул. Незалежна, 30 </t>
  </si>
  <si>
    <t>Придбання, встановлення та облаштування дитячих майданчиків в с. Копище, вул. Партизанська, 52 в</t>
  </si>
  <si>
    <t>Придбання будівельних матеріалів для проведення поточного ремонту будівлі господарського блоку для КНП "Олевська ЦЛ" ОМР</t>
  </si>
  <si>
    <t>Придбання офісних меблів для КНП "Олевська ЦЛ" ОМР</t>
  </si>
  <si>
    <t>Придбання монітора спостереження за пацієнтом для КНП "Олевська ЦЛ" ОМР</t>
  </si>
  <si>
    <t>Поточний ремонт огорожі Олевського ЦРД №1 "Зірочка" по вул.Київська, 24 в м.Олевськ, Коростенського району, Житомирської області</t>
  </si>
  <si>
    <t>Придбання комплектів дитячої постільної білизни та подушок для закладів дошкільної освіти Городницької селищної ради</t>
  </si>
  <si>
    <t>Придбання спортивного інвентарю для закладів дошкільної освіти Городницької селищної ради</t>
  </si>
  <si>
    <t>Придбання службового автомобіля (в рамках проекту "Поліцейський офіцер громади") для Лугинської селищної ради</t>
  </si>
  <si>
    <t>Придбання металевої огорожі для будинку культури в смт Лугини</t>
  </si>
  <si>
    <t>Придбання меблів для закладу дошкільної освіти "Сонечко" в смт Лугини</t>
  </si>
  <si>
    <t>Придбання оргтехніки для закладу дошкільної освіти "Сонечко" в смт Лугини</t>
  </si>
  <si>
    <t>Придбання меблів для Липниківського закладу дошкільної освіти "Ромашка"</t>
  </si>
  <si>
    <t>Придбання оргтехніки, бойлера та лінолеуму для Червоноволоцького закладу дошкільної освіти "Колос"</t>
  </si>
  <si>
    <t>Придбання меблів для Лугинської гімназії В.П. Фількова в смт Лугини</t>
  </si>
  <si>
    <t>Придбання спортивного інвентаря для Лугинської ДЮСШ</t>
  </si>
  <si>
    <t>Придбання оргтехніки для закладів освіти та культури Миропільської ТГ</t>
  </si>
  <si>
    <t>Придбання ендоскопічної системи для КНП "Попільнянська лікарня "</t>
  </si>
  <si>
    <t>Придбання безтіньових ламп (4 штуки) для КНП "Попільнянська лікарня "</t>
  </si>
  <si>
    <t>Капітальний ремонт Хорошівського ліцею №1 по проекту "Капітальний ремонт Хорошівської гімназії в рамках Концепції "Нової української школи" за адресою: вул.Гвардійців Кантемирівців, 4 в смт.Хорошів Житомирської області"</t>
  </si>
  <si>
    <t xml:space="preserve">Поточний ремонт вуличного освітлення в с. Давидівка </t>
  </si>
  <si>
    <t>Капітальний ремонт покрівлі двоповерхової частини будівлі стаціонарного корпусу інфекційного відділення КНП «Хорошівська лікарня Хорошівської селищної ради» за адресою: Житомирська область, смт.Хорошів, вул.Ринкова, 3Б</t>
  </si>
  <si>
    <t>Придбання спортивного інвентаря (шведська стінка, обручі, мати, гімнастичні палки та ін.) для спортивної школи Хорошівської селищної ради</t>
  </si>
  <si>
    <t>Реконструкція вуличного освітлення за адресою: вул. Поштова, вул. Залізнична, вул.Пушкіна, пров. Корольова від КТП -444 в с. Пристанційне, Малинського району, Житомирської області</t>
  </si>
  <si>
    <t>Встановлення дитячого спортивного майданчика на території села Андрушки</t>
  </si>
  <si>
    <t>Придбання матеріалів для облаштування автобусних зупинок у смт.Яблунець, с.Бараші, с.Неділище, с.Сімаківка Барашівської сільської ради</t>
  </si>
  <si>
    <t>Придбання музичних інструментів для КЗ "Центр культури та дозвілля Білокоровицької сільської ради"</t>
  </si>
  <si>
    <t>Придбання тренажерів та облаштування спортивної кімнати в КЗ "Центр культури та дозвілля Білокоровицької сільської ради"</t>
  </si>
  <si>
    <t xml:space="preserve">Поточний ремонт каналізації в КЗ "Іванопільський ліцей" </t>
  </si>
  <si>
    <t xml:space="preserve">Поточний ремонт водопроводу та арт свердловини в селі Стетківці </t>
  </si>
  <si>
    <t>Придбання трактора для Комунального підприємства Краснопільської сільської ради "Україна"</t>
  </si>
  <si>
    <t>Ремонт котлів і заміна димоходу у Носівській загальноосвітній школі І-ІІІ ступенів по вул. Дубовій, 3 села Носівки Бердичівського району</t>
  </si>
  <si>
    <t xml:space="preserve">Придбання вхідних дверей для Іванковецького ДНЗ "Журавлик" </t>
  </si>
  <si>
    <t>Поточний ремонт приміщення Великонизгірецького ДНЗ "Золотий ключик"</t>
  </si>
  <si>
    <t>Поточний ремонт подвір'я Великонизгірецької ЗОШ 1-111 ступенів</t>
  </si>
  <si>
    <t>Придбання стовпчиків та секцій залізобетонних для огорожі Великонизгірецької ЗОШ 1-111 ступенів</t>
  </si>
  <si>
    <t>Придбання спортивних майданчиків для дітей Семенівської  громади</t>
  </si>
  <si>
    <t>Капітальний ремонт (енергоефективна термосанація, ремонт покрівлі, заміна вікон та зовнішніх дверей) Будинку культури за адресою: вул. Шкільна 1, с.Піски, Житомирського району, Житомирської області</t>
  </si>
  <si>
    <t>Капітальний ремонт спортивного майданчику з влаштуванням штучного  покриття для міні-футболу за адресою: вул.Шкільна, 5, с.Лука, Житомирського району Житомирської області</t>
  </si>
  <si>
    <t>Облаштування дитячого майданчику Ліщинського ЗДО "Ластівка" в с.Ліщин</t>
  </si>
  <si>
    <t>Придбання спортивної форми та спортивного інвентарю для дитячо-юнацької спортивної школи Ушомирської сільської ради</t>
  </si>
  <si>
    <t>Поточний ремонт закладу дошкільної освіти №3 "Веселка" Ємільчинської селищної ради</t>
  </si>
  <si>
    <t>Реконструкція електричних мереж вуличного освітлення в с. Глезне, Любарського району, Житомирської області</t>
  </si>
  <si>
    <t>Реконструкція електричних мереж вуличного освітлення в с.Велика Волиця, Любарського району, Житомирської області</t>
  </si>
  <si>
    <t xml:space="preserve">Придбання холодильників для КНП "Любарська лікарня" Любарської селищної ради </t>
  </si>
  <si>
    <t xml:space="preserve">Придбання холодильників для КНП "Любарський центр первинної медико-санітарної допомоги" Любарської селищної ради </t>
  </si>
  <si>
    <t>Придбання музичних інструментів для КЗ "Новочорторийський Будинок культури" Любарської селищної ради</t>
  </si>
  <si>
    <t>Придбання музичних інструментів для КЗ "Мотовилівський Будинок культури" Любарської селищної ради</t>
  </si>
  <si>
    <t>Придбання ноутбука для КЗ "Любарська центральна бібліотека"Любарської селищної ради</t>
  </si>
  <si>
    <t>Придбання дитячого майданчика для дітей вулиць Широка, Вузька, Січових Стрільців, Івана Мазепи, Садова села Старий Любар</t>
  </si>
  <si>
    <t>Придбання плитки для підлоги, облаштування входу за вимогами НСЗУ, придбання меблів для реєстратури та коридору для КНП "Овруцький ЦПМСД" амбулаторії загальної практики сімейної медицини №1 м. Овруч</t>
  </si>
  <si>
    <t>Придбання ігрового обладнання для Великофоснянського закладу загальної середньої освіти І-ІІ ступенів Овруцької міської ради</t>
  </si>
  <si>
    <t>Придбання обладнання (вуличні тренажери) для ОЗО "Покалівський заклад загальної середньої освіти І-ІІІ ступенів" Овруцької міської ради</t>
  </si>
  <si>
    <t>Укладання каналізації для КНП "Овруцький ЦПМСД" амбулаторії загальної практики сімейної медицини №1 міста Овруч</t>
  </si>
  <si>
    <t>Придбання вхідних дверей, проміжних дверей та вікон для КНП "Овруцький ЦПМСД" амбулаторії загальної практики сімейної медицини №1 міста Овруч</t>
  </si>
  <si>
    <t>Придбання сантехніки для КНП "Овруцький ЦПМСД" амбулаторії загальної практики сімейної медицини №1 міста Овруч</t>
  </si>
  <si>
    <t>Придбання та встановлення стелі для КНП "Овруцький ЦПМСД" амбулаторії загальної практики сімейної медицини №1 міста Овруч</t>
  </si>
  <si>
    <t>Облаштування санвузлів, освітлення для КНП "Овруцький ЦПМСД" амбулаторії загальної практики сімейної медицини №1 міста Овруч</t>
  </si>
  <si>
    <t>Придбання меблів для КНП "Овруцький ЦПМСД" амбулаторії загальної практики сімейної медицини №1 міста Овруч</t>
  </si>
  <si>
    <t>Придбання плитки для КНП "Овруцький ЦПМСД" амбулаторії загальної практики сімейної медицини №1 міста Овруч</t>
  </si>
  <si>
    <t>Придбання будівельних матеріалів, розеток, коробок, ламп для КНП "Овруцький ЦПМСД" амбулаторії загальної практики сімейної медицини №1 міста Овруч</t>
  </si>
  <si>
    <t>Облаштування входу до приміщення (плитка тротуарна, бордюри, тощо) для КНП "Овруцький ЦПМСД" амбулаторії загальної практики сімейної медицини №1 міста Овруч</t>
  </si>
  <si>
    <t>Заміна дверей Кирданівського ЗЗСО Житомирської області</t>
  </si>
  <si>
    <t>Придбання комп'ютерного обладнання в Будинок культури села Великий Луг</t>
  </si>
  <si>
    <t>Придбання матеріалів для проведення поточного ремонту в адмінбудівлі під ЦНАП в селі Курне за адресою вул.Центральна,4б</t>
  </si>
  <si>
    <t>Надання матеріальної допомоги жительці села Великий Луг Курненської сільської ради Васільєвій Лілії Миколаївні для придбання житла</t>
  </si>
  <si>
    <t>Капітальний ремонт (відновлення) вуличного освітлення по вул. Чайковського, пров.Шевченка в смт Пулини</t>
  </si>
  <si>
    <t>Капітальний ремонт (відновлення) вуличного освітлення по вул. Набережній, вул.Волі, вул.Правобережна, вул.Молодіжна в смт Пулини</t>
  </si>
  <si>
    <t>Капітальний ремонт (відновлення) вуличного освітлення по вул. Чкалова, вул.Ювілейна в смт Пулини</t>
  </si>
  <si>
    <t>Придбання дитячого майданчика для Радомишльської міської ради</t>
  </si>
  <si>
    <t>Поточний ремонт теплотраси КНП "Радомишльська лікарня" по вул. Присутственна, 9 в м. Радомишль</t>
  </si>
  <si>
    <t>Благоустрій території ЗОШ №3 та придбання дитячого майданчика в м.Радомишль</t>
  </si>
  <si>
    <t xml:space="preserve">Виготовлення ПКД та капітальний ремонт провул.Борщагівського в м.Радомишль </t>
  </si>
  <si>
    <t>Придбання ігрового майданчика для дітей Вільшанської територіальної громади</t>
  </si>
  <si>
    <t xml:space="preserve"> Придбання пральної машини, пилососа, ноутбуку для Гришковецького ЗДО "Сонечко"</t>
  </si>
  <si>
    <t>Оплата послуг з поточного ремонту ФАПу у с.Кустин, Бердичівського району, Житомирської області</t>
  </si>
  <si>
    <t>Оплата послуг з поточного ремонту клубу у с.Кустин, Бердичівського району, Житомирської області</t>
  </si>
  <si>
    <t xml:space="preserve">Будівництво водогінних мереж в с.Бабушки </t>
  </si>
  <si>
    <t>Будівництво інженерних мереж системи комунально-питного водопостачання в с.Красносілка</t>
  </si>
  <si>
    <t>Придбання постільної білизни та рушників для Чуднівського ЗДО "Веснянка"</t>
  </si>
  <si>
    <t>Придбання твердо-паливних котлів для закладів освіти Чуднівської міської ради</t>
  </si>
  <si>
    <t xml:space="preserve">Співфінансування  на реалізацію проєкту "Реконструкція скверу на Майдані Соборному у м. Житомирі зі встановленням флагштоку Державного прапору України" </t>
  </si>
  <si>
    <t>Співфінансування на реалізацію будівельного проекту "Спорудження пам'ятника Воїнам Житомирщини - захисникам Вітчизни у збройному конфлікті на сході України, з благоустроєм території навколо нього, за адресою: сквер - вул. Перемоги, 2"</t>
  </si>
  <si>
    <t>Оплата послуг з перевезення експонатів (різновидів гранітів) для облаштування скверу "Музей каменю Житомирщини" в м. Житомирі</t>
  </si>
  <si>
    <t>Придбання апарату ультразвукового дослідження та рентгенапарату для КП "Центр захисту тварин" Житомирської міської ради</t>
  </si>
  <si>
    <t>Придбання матеріалів для поточного ремонту покрівлі  в житловому будинку за адресою: м.Житомир, вул. Чуднівська, 110 ОСББ "Чуднівська 110"</t>
  </si>
  <si>
    <t>Поточний ремонт внутрішньобудинкових мереж водопостачання та водовідведення в житловому будинку за адресою: м. Житомир вул.Старочуднівська, 9 ТОВ "ЄСП"Корбутівка"</t>
  </si>
  <si>
    <t>Поточний ремонт внутрішньобудинкової мережі електропостачання в житловому будинку за адресою: м.Житомир, вул.Леха Качинського, 14 ОСББ "Леха Качинського 14"</t>
  </si>
  <si>
    <t>Поточний ремонт внутрішньобудинкової мережі електропостачання в житловому будинку за адресою: м.Житомир, вул. Пушкінська, 27А ПП "Євро Сервіс Плюс"</t>
  </si>
  <si>
    <t>Поточний ремонт покрівлі в житловому будинку за адресою: м. Житомир, вул. Пушкінська, 27А ПП "Євро Сервіс Плюс"</t>
  </si>
  <si>
    <t>Поточний ремонт прибудинкової території з благоустроєм, у тому числі: озеленення, ландшафтний дизайн; встановлення елементів спортивного та дитячого майданчика за адресою: м.Житомир, бульвар Польський, 12 ТОВ "Керуюча Компанія "Домком Житомир"</t>
  </si>
  <si>
    <t>Поточний ремонт прибудинкової території з благоустроєм, у тому числі: озеленення, ландшафтний дизайн; встановлення елементів спортивного та дитячого майданчика за адресою: м.Житомир, вул. Малікова,28 ТОВ "Керуюча Компанія "Домком Житомир"</t>
  </si>
  <si>
    <t>Поточний ремонт прибудинкової території з благоустроєм, у тому числі: озеленення, ландшафтний дизайн; встановлення елементів спортивного та дитячого майданчика за адресою: м.Житомир, проспект Миру, 19 ПП "ЖБК №2/1"</t>
  </si>
  <si>
    <t>Придбання медичного обладнання (операційний стіл) в хірургічне відділення для КНП "Новоград-Волинське міськрайонне територіальне медичне об'єднання"</t>
  </si>
  <si>
    <t>Придбання електрокоагулятора високочастотного зварювального для пологового відділення КНП "Новоград-Волинське міськрай ТМО"</t>
  </si>
  <si>
    <t>Придбання декоративних дерев для озеленення площі Лесі Українки м.Новоград-Волинський</t>
  </si>
  <si>
    <t>Капітальний ремонт поліклініки для дорослих (утеплення зовнішніх стін) по вул. Житомирська, 42 у м.Бердичеві для КНП "Бердичівська міська лікарня"</t>
  </si>
  <si>
    <t>Придбання та встановлення дитячого ігрового майданчика на прибудинковій території житлового будинку по вул. Одеська, 66 в м.Бердичеві (ОСББ "Південний - 66)</t>
  </si>
  <si>
    <t>Придбання та встановлення дитячого ігрового майданчика на прибудинковій території житлового будинку по вул. Євгена Старікова,1 в м.Бердичеві (ОСББ "Сокіл - 1")</t>
  </si>
  <si>
    <t xml:space="preserve">Придбання та встановлення дитячого ігрового майданчика по вул. Миру, 22 в с.Скраглівка </t>
  </si>
  <si>
    <t>Придбання та встановлення дитячого ігрового майданчика по вул. Миру, 34-а в с.Підгородне</t>
  </si>
  <si>
    <t xml:space="preserve">Придбання телевізора (7000), шкільних меблів (35000), дверей (8000) для загальноосвітньої школи І-ІІІ ступенів № 5 в м.Бердичеві </t>
  </si>
  <si>
    <t>Придбання ігрового майданчика, який буде встановлено на Майданчику для проведення загальноміських заходів міського Палацу культури імені Шабельника О.А. за адресою пл.Мистецька, 1</t>
  </si>
  <si>
    <t>Придбання фарби для спеціалізованої загальноосвітньої школи 1-111 ступенів №17 м.Бердичева</t>
  </si>
  <si>
    <t>Придбання сцени мобільної збірно-розбірної для міського Палацу культури імені Шабельника О.А., що розташований за адресою: площа Мистецька, 1 у місті Бердичеві</t>
  </si>
  <si>
    <t>Придбання електрокардіографа 3/12 канального для КНП "Бердичівська міська лікарня" Бердичівської міської ради</t>
  </si>
  <si>
    <t>Проведення ремонтних робіт в травматологічному відділенні КНП "Бердичівська міська лікарня" Бердичівської міської ради</t>
  </si>
  <si>
    <t>Придбання кахелю, будівельних матеріалів та дверей для НВК №4 міста Бердичева</t>
  </si>
  <si>
    <t>Придбання вікон в Будинок культури села Черемошне</t>
  </si>
  <si>
    <t>Придбання дитячого ігрового майданчика для смт.Біла Криниця</t>
  </si>
  <si>
    <t>Придбання ламп підвісних однокупольних PAX-K s-5 для комунального некомерційного підприємства  "Коростенська центральна міська лікарня Коростенської міської ради"</t>
  </si>
  <si>
    <t>Встановлення внутрішніх дверей у приміщенні Коростенської міської гімназії №7</t>
  </si>
  <si>
    <t>Поточний ремонт мереж вуличного освітлення м.Коростень</t>
  </si>
  <si>
    <t>Придбання спортивних костюмів, форми, взуття, баскетбольних м'ячів, спортивного інвентаря та обладнання для відділення баскетболу Коростенської ДЮСШ</t>
  </si>
  <si>
    <t xml:space="preserve">Поточний ремонт огорожі кладовища с. Хотинівка </t>
  </si>
  <si>
    <t>Поточний ремонт тротуарів м. Коростень</t>
  </si>
  <si>
    <t>Поточний ремонт Парку фабричний в м. Малині</t>
  </si>
  <si>
    <t>Придбання дитячого майданчика в с. Гамарня Малинської  міської територіальної громади</t>
  </si>
  <si>
    <t>Придбання стола операційного універсального, стола операційного універсального ренгенопрозорого, сухо-жарову шафу та промислову професійну пральну машину для Комунального некомерційного підприємства "Малинська міська лікарня" Малинської міської ради</t>
  </si>
  <si>
    <t>Придбання трибуни стаціонарної на 42 місця (2 штуки)</t>
  </si>
  <si>
    <t>Виконання проектних робіт по реконструкції благоустрою території на розі вулиць Армійської та Житомирської в смт. Гуйва Житомирського району</t>
  </si>
  <si>
    <t>Проведення ремонту вуличного освітлення у с. Троянів вул. Старосілля та вул. Зарічна</t>
  </si>
  <si>
    <t>Облаштування водогінної мережі в с. Камінь</t>
  </si>
  <si>
    <t>Придбання холодильників для фельдшерських пунктів сіл Булдичів, Хижинці, Годиха, Старочуднівська Гута, Соболівка КНП "Центр первинної медико-санітарної допомоги "Романівської селищної ради</t>
  </si>
  <si>
    <t>Придбання музичної апаратури для Ольшанського сільського клубу</t>
  </si>
  <si>
    <t>Придбання інвентаря для благоустрою селища Романів ( для цвинтаря по вул. Шевченка)</t>
  </si>
  <si>
    <t>Облаштування кімнат для функціонування груп продовженого дня у Бистрицькій ЗОШ І-ІІ ступенів, Ягнятинській ЗОШ І-ІІІ ступенів, Зарудинецькій ЗОШ І-ІІІ ступенів, Білилівській гімназії, Ружинській гімназії та Мовчанівській ЗОШ 1-111 ступенів.</t>
  </si>
  <si>
    <t>Придбання пральної машини для Ружинського ДНЗ №1 "Золота рибка"</t>
  </si>
  <si>
    <t>Придбання матеріалів для огорожі Черняхівського сміттєзвалища</t>
  </si>
  <si>
    <t>Придбання дитячого ігрового майданчика для Черняхівської селищної ради</t>
  </si>
  <si>
    <t>Придбання обладнання для реабілітації (реабілітаційні тренажери) для КУ "Територіальний центр соціального обслуговування (надання соціальних послуг)" Черняхівської селищної ради</t>
  </si>
  <si>
    <t>Придбання ноутбука для КУ "Центр професійного розвитку педагогічних працівників" Черняхівської селищної ради</t>
  </si>
  <si>
    <t>Придбання ігрового обладнання для майданчика середньої групи ДНЗ №5 Черняхівської селищної ради</t>
  </si>
  <si>
    <t>Придбання бетонної огорожі для кладовища Великогорбашівського старостинського округу Ярунської сільської ради</t>
  </si>
  <si>
    <t>Придбання ігрового обладнання для Шоломківського закладу дошкільної освіти Овруцької міської ради</t>
  </si>
  <si>
    <t>Додаток 5.3</t>
  </si>
  <si>
    <t xml:space="preserve">Заміна електричного освітлення на світлодіодні світильники в приміщені Забрідської ЗОШ І-ІІІ ступенів </t>
  </si>
  <si>
    <t>Придбання комп'ютерного обладнання для Першотравенського ліцею</t>
  </si>
  <si>
    <t>Придбання спортивного інвентаря для Баранівського ліцею №2 ім. О. Сябрук</t>
  </si>
  <si>
    <t>Придбання кухонної плити та кухонного інвентаря для Суємецької ЗОШ І-ІІ ст.</t>
  </si>
  <si>
    <t>Капітальний ремонт покрівлі корпусу №2 Лугинської ЗОШ І-ІІІ ступенів №2 по вул.Церковна,12 в смт Лугини, Коростенського району, Житомирської області</t>
  </si>
  <si>
    <t>Капітальний ремонт даху КУ "Печанівський заклад загальної середньої освіти І-ІІІ ступенів" Миропільської селищної ради</t>
  </si>
  <si>
    <t>Виготовлення та встановлення метало-пластикових вікон в Макарівській філії І-ІІ ступенів опорного закладу освіти "Андрушківський ліцей ім.А.Н.Вітрука"</t>
  </si>
  <si>
    <t>Поточний ремонт вестибюля та коридорів Новобілокоровицької ЗОШ І-ІІІ ступенів №3</t>
  </si>
  <si>
    <t>Придбання ноутбука для Великодеревичівської ЗОШ І-ІІІ ст. Любарської селищної ради</t>
  </si>
  <si>
    <t>Придбання світильників в ОЗЗСО Стрибізька ЗОШ І-ІІІ ст.</t>
  </si>
  <si>
    <t>Придбання матеріалів для облаштування внутрішніх санвузлів у філії с-ша Курне ОЗЗСО Курненська ЗОШ І-ІІІ ст</t>
  </si>
  <si>
    <t>Придбання нетбуків для третього класу Андріївської ЗОШ І-ІІІ ступенів</t>
  </si>
  <si>
    <t>Капітальний ремонт по заміні світильників в приміщені ОЗЗСО Пулинська ЗОШ І-ІІІ ступенів за адресою: смт. Пулини вул.Освіти,5</t>
  </si>
  <si>
    <t xml:space="preserve">Придбання спортивного майданчика для Гадзинської гімназії </t>
  </si>
  <si>
    <t>Придбання предметів, матеріалів, обладнання та інвентарю для ЗОШ І-ІІІ ступенів №21 м.Житомир</t>
  </si>
  <si>
    <t>Капітальний ремонт фойє Ліцею №4 міста Новограда-Волинського по вулиці Пушкіна,46</t>
  </si>
  <si>
    <t xml:space="preserve">Капітальний ремонт (заміна віконних блоків) у Ліцеї №11 м. Новограда-Волинського, вул. Співдружності, 3/8 </t>
  </si>
  <si>
    <t xml:space="preserve">Придбання спортивного інвентаря для Новоград-Волинської ЗОШ №7 (стіл тенісний - 50000 грн, м'ячі -8000 грн, м"ячі для метання - 800 грн, гімнастичні палки - 600 грн. обручі - 1500 грн, гантелі - 1000 грн, спальні мішки - 3000 грн, палатки - 6000 грн, спортивні тренажери - 21000 грн)  </t>
  </si>
  <si>
    <t>Придбання комп'ютерної техніки (системних блоків - 3 шт) для СЗОШ №8 з поглибленим вивченням окремих предметів та курсів м.Бердичева</t>
  </si>
  <si>
    <t>Заміна світильників у Березівській загальноосвітній школі І-ІІІ ступенів</t>
  </si>
  <si>
    <t>Придбання меблів (лави для відпочинку) для облаштування нового освітнього простору в приміщеннях школи для Черняхівської ЗОШ І-ІІІ ст.</t>
  </si>
  <si>
    <t>Обласний бюджет</t>
  </si>
  <si>
    <t xml:space="preserve">Субвенція з місцевого бюджету за рахунок залишку коштів освітньої субвенції, що утворився на початок бюджетного періоду </t>
  </si>
  <si>
    <t xml:space="preserve">Державний бюджет </t>
  </si>
  <si>
    <t>Капітальний ремонт (улаштування відкосів зовнішніх та внутрішніх) у будівлі спортивної зали Бердичівського педагогічного фахового коледжу Житомирської обласної ради за адресою: вул. Європейська, 53/1 м.Бердичів</t>
  </si>
  <si>
    <t>Капітальний ремонт (заміна вікон) у будівлі спортивної зали Бердичівського педагогічного фахового коледжу Житомирської обласної ради  за адресою: вул. Європейська, 53/1 м.Бердичів</t>
  </si>
  <si>
    <t>Капітальний ремонт приміщення для облаштування в галокамеру (лікувально-оздоровчий комплекс "Сольова печера") КНП "Госпіталь ветеранів війни" ЖОР</t>
  </si>
  <si>
    <t>Встановлення дизельного генератора, КНП "Обласний перинатальний центр" ЖОР</t>
  </si>
  <si>
    <t>Проведення капітального ремонту приміщень КНП "Обласний медичний консультативно-діагностичний центр" ЖОР</t>
  </si>
  <si>
    <t xml:space="preserve"> Будівництво хірургічного корпусу комунального некомерційного підприємства "Новоград-Волинське міськрайонне територіальне медичне об"єднання"  на вул. Наталії Оржевської,13 в м.Новограді - Волинському Житомирської області (Коригування) (Коригування проектної документації)</t>
  </si>
  <si>
    <t xml:space="preserve"> Будівництво хірургічного корпусу комунального некомерційного підприємства "Новоград-Волинське міськрайонне територіальне медичне об"єднання"  на вул. Наталії Оржевської,13 в м.Новограді - Волинському Житомирської області (Коригування) </t>
  </si>
  <si>
    <t>Виконання інвестиційних проектів в рамках здійснення заходів щодо соціально-економічного розвитку окремих територій</t>
  </si>
  <si>
    <t>Капітальний ремонт покрівлі будівлі спортивного залу Березівської  спеціальної школи Житомирської обласної ради, 10002, Житомирський район, с.Березівка, вулиця Бушуєва, 6</t>
  </si>
  <si>
    <t>Створення парку мінігабаритної техніки (придбання сівалки, розкидача добрив, оприскувача, набору грунтообробного обладнання, картоплесаджалки тощо) для впровадження проєкту "Школа фермерів" для Житомирського Поліського національного університету на виконання Програми розвитку системи освіти Житомирської області на 2021-2025 роки</t>
  </si>
  <si>
    <t>Програма надання матеріально-технічної допомоги Житомирському обласному територіальному центру комплектування та соціальної підтримки на 2021-2023 роки</t>
  </si>
  <si>
    <t>На придбання оргтехніки (двох багатофункціональних принтерів-копір-сканерів) для відділення поліції №2 Житомирського районного управління відділу поліції ГУНП в Житомирській області</t>
  </si>
  <si>
    <t>Придбання паливно-мастильних матеріалів для Головного управління Державної служби України з надзвичайних ситуацій у Житомирській області</t>
  </si>
  <si>
    <t>Розвиток матеріально-технічної бази для Головного управління Державної служби України з надзвичайних ситуацій у Житомирській області</t>
  </si>
  <si>
    <t>На забезпечення функціонування структурних підрозділів Житомирської обласної державної адміністрації</t>
  </si>
  <si>
    <t>На забезпечення роботи ситуаційного центру Головного управління національної поліції в Житомирській області</t>
  </si>
  <si>
    <t xml:space="preserve">На придбання телекомунікаційної і супутньої апаратури та обладнання для Управління Служби безпеки України в Житомирській області </t>
  </si>
  <si>
    <t>Рішення обласної ради від 27.05.2021 № 71</t>
  </si>
  <si>
    <t>Придбання , встановлення та облаштування вуличних тренажерів в смт Дружба, вул. Центральна, 10</t>
  </si>
  <si>
    <t>3.</t>
  </si>
  <si>
    <t>01</t>
  </si>
  <si>
    <t>06</t>
  </si>
  <si>
    <t>30</t>
  </si>
  <si>
    <t>37</t>
  </si>
  <si>
    <t>Влаштування металопластикової перегородки і дверей на коридорі І поверху для шкільної медіатеки ЗОШ І-ІІІ ступенів №1 в м.Житомирі</t>
  </si>
  <si>
    <t>Поточний ремонт спортивної зали ЗОШ  І-ІІІ ступенів  №1 м.Житомира</t>
  </si>
  <si>
    <t>Придбання телевізора в кабінет "Захист України" для спеціалізованої загальноосвітньої школи  І-ІІІ ступенів №17 м.Бердичева</t>
  </si>
  <si>
    <t>Придбання принтера для кабінету виховної роботи для спеціалізованої загальноосвітньої школи  І-ІІІ ступенів №17 м.Бердичева</t>
  </si>
  <si>
    <t>Заміна вікон на енергозберігаючі в Коростенській загальноосвітній школі  І-ІІІ ступенів №9</t>
  </si>
  <si>
    <t>Реконструкція території благоустрою комунального закладу "Житомирська обласна універсальна наукова бібліотека імені Олега Ольжича" за адресою: м.Житомир, бульвар Новий, 4" (виготовлення ПКД)</t>
  </si>
  <si>
    <t>Реконструкція кінотеатру "Жовтень" за адресою: м.Житомир, майдан ім. С.П.Корольова, 11 (виготовлення ПКД)</t>
  </si>
  <si>
    <t>Придбання та встановлення дитячого майданчика на прибудинковій території житлових будинків за адресою: м. Житомир, вул.Чуднівська, 92 та вул.Чуднівська, 94 ОСББ "Чуднівська 92-94"</t>
  </si>
  <si>
    <t>Придбання лавочок та матеріалів для благоустрою прибудинкових територій житлових будинків за адресою: м. Житомир, вул.Чуднівська, 92 та вул.Чуднівська, 94 ОСББ "Чуднівська 92-94"</t>
  </si>
  <si>
    <t>Придбання та встановлення елементів дитячого майданчика на прибудинковій території житлового будинку за адресою: м. Житомир, провул. Червоний, 41 ТОВ "Керуюча компанія "Домком Житомир"</t>
  </si>
  <si>
    <t>Поточний ремонт внутрішньобудинкових мереж водопостачання, водовідведення та зливової каналізації в житловому будинку за адресою: м. Житомир, вул. Старочуднівська, 12/77 ТОВ "ЄСП" Корбутівка"</t>
  </si>
  <si>
    <t xml:space="preserve">Центральний стадіон в м.Житомир. Реконструкція Західної трибуни (Коригування) </t>
  </si>
  <si>
    <t>Для закупівлі будівельних матеріалів для проведення поточного ремонту приміщень Житомирського обласного територіального центру комплектування та соціальної підтримки</t>
  </si>
  <si>
    <t>Придбання трактора та обладнання для комунального багатофункціонального обслуговуючого підприємства Курненської сільської ради</t>
  </si>
  <si>
    <t>Реконструкція територій благоустрою з встановленням архітетектурних форм за адресою: м.Житомир, вул. Ольжича, 14 (в т.ч. виготовлення ПКД)</t>
  </si>
  <si>
    <t>за рахунок залишку коштів за освітньою субвенцією, що мають цільове призначення</t>
  </si>
  <si>
    <t>для закладів загальної середньої освіти (видатки споживання)</t>
  </si>
  <si>
    <t>для закладів дошкільної освіти (видатки споживання)</t>
  </si>
  <si>
    <t>Ремонтно-реставраційні роботи навчального корпусу №4 Бердичівського медичного фахового коледжу Житомирської обласної ради</t>
  </si>
  <si>
    <r>
      <t xml:space="preserve">Плата за оренду майна бюджетних установ, що здійснюється відповідно до </t>
    </r>
    <r>
      <rPr>
        <sz val="12"/>
        <color indexed="12"/>
        <rFont val="Times New Roman"/>
        <family val="1"/>
        <charset val="204"/>
      </rPr>
      <t>Закону України "Про оренду державного та комунального майна"</t>
    </r>
  </si>
  <si>
    <t>Співфінансування інвестиційного проєкту" Будівництво амбулаторії на 1-2 лікаря з житлом по вул. Миру, 9 с.Ірша</t>
  </si>
  <si>
    <t>Співфінансування інвестиційних проєктів "Амбулаторія на 1-2 лікаря з житлом по вул. Зарудня, 30 у с. Липне Любарського району Житомирської області - будівництво". (Коригування)</t>
  </si>
  <si>
    <t xml:space="preserve">Співфінансування на "Реконструкція частини приміщень першого поверху приймального відділення КНП "Овруцька міська лікарня" Овруцької міської ради під відділення екстреної медичної допомоги за адресою: вул. Т.Шевченка 106, м. Овруч, Житомирської області" </t>
  </si>
  <si>
    <t>Співфінансування об'єкту "Амбулаторія на 1-2 лікаря з житлом" по вул. Центральній 4а, у с.Курне, Пулинського району - будівництво</t>
  </si>
  <si>
    <t>Виготовлення проектно-коштористної документації на ремонт ділянки дороги Кілки-Волосівка (С-062308) протяжністю 5,1 км в сумі 300000 грн. та дороги Карпівці-Бейзимівка (С-062303) протяжністю 2,7 км в сумі 130000 грн.</t>
  </si>
  <si>
    <t>На співфінансування будівництва амбулаторії ПМД на 1-2 лікаря з житлом по вул.Зоряній в с. Оліївка №72 А південний схід с. Сонячне, Житомирського району Житомирської області</t>
  </si>
  <si>
    <t>На співфінансування інвестиційних проєктів по об'єкту "Реконструкція приміщень для розміщення відділення невідкладної (екстреної) медичної допомоги КП "Лікарня №1" за адресою: м. Житомир, вул.В.Бердичівська, 70".</t>
  </si>
  <si>
    <t>На співфінансування інвестиційних проєктів (Будівництво хірургічного корпусу Новоград-Волинського міськрайонного територіального медичного об'єднання на вул. Медведєва, 13 (Наталії Оржевської, 13) в м. Новограді-Волинському Житомирської області)</t>
  </si>
  <si>
    <t>На співфінансування інвестиційних проєктів (коригування проєктної документації за проєктом "Будівництво хірургічного корпусу комунального некомерційного підприємства "Новоград-Волинське міськрайонне територіальне медичне об'єднання" на вул. Наталії Оржевської, 13 в м. Новограді-Волинському Житомирської області")</t>
  </si>
  <si>
    <t>Співфінансування на придбання шкільних автобусів для Баранівської міської територіальної громади</t>
  </si>
  <si>
    <t>На співфінансування для придбання шкільного автобуса</t>
  </si>
  <si>
    <t>Придбання матеріалів на облаштування спортивного майданчика із штучним покриттям у ДНЗ "Новоград-Волинське вище професійне училище"</t>
  </si>
  <si>
    <t>Програма забезпечення депутатської діяльності, проведення конкурсів та нагород обласної ради на 2021 рік</t>
  </si>
  <si>
    <t>Рішення обласної ради від 24.12.2020 № 35</t>
  </si>
  <si>
    <t>Програму забезпечення депутатської діяльності, проведення конкурсів та нагород Житомирської обласної ради на 2021 рік</t>
  </si>
  <si>
    <t>Код класи-фікації/    номер з/п</t>
  </si>
  <si>
    <t xml:space="preserve">від                        № </t>
  </si>
  <si>
    <t>Субвенції з обласного бюджету за рахунок залишку коштів освітньої субвенції, що утворився на початок бюджетного періоду, який спрямовується на оновлення матеріально-технічної бази закладів загальної середньої освіти (в тому числі за рахунок залишку коштів за освітньою субвенцією, що має цільове призначення), на 2021 рік</t>
  </si>
  <si>
    <t>Капітальний ремонт частини трибун стадіону "Спартак" за адресою:Житомирська область, смт Хорошів, вул. Незалежності, 54 Г</t>
  </si>
  <si>
    <t>Сесія 27.05.2021</t>
  </si>
  <si>
    <t>Придбання вікон, мультимедійної дошки, принтера та телевізора в школу № 2 у с.Висока Піч</t>
  </si>
  <si>
    <t xml:space="preserve">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 </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</si>
  <si>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</si>
  <si>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</si>
  <si>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</si>
  <si>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</si>
  <si>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0611180</t>
  </si>
  <si>
    <t>Виконання заходів, спрямованих на забезпечення якісної, сучасної та доступної загальної середньої освіти "Нова українська школа"</t>
  </si>
  <si>
    <t>Закупівлю засобів навчання та обладнання для навчальних кабінетів початкової школи (видатки розвитку):</t>
  </si>
  <si>
    <t>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учасниками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 (видатки розвитку)</t>
  </si>
  <si>
    <t>Підвищення кваліфікації педагогічних працівників та проведення супервізії (видатки споживання)</t>
  </si>
  <si>
    <t>у тому числі</t>
  </si>
  <si>
    <t xml:space="preserve">закупівлю засобів навчання та обладнання (крім комп"ютер-ного) </t>
  </si>
  <si>
    <t>закупівлю сучасних меблів</t>
  </si>
  <si>
    <t>закупівлю комп"ютерного обладнання</t>
  </si>
  <si>
    <t>проведення супервізії</t>
  </si>
  <si>
    <t>підвищення кваліфікації вчителів, які забезпечують здобуття учнями 5 - 11 (12) класів загальної середньої освіти</t>
  </si>
  <si>
    <t>Реконструкція мосту через річку Лісна в селі Барашівка, Житомирський район, Житомирська область</t>
  </si>
  <si>
    <t>Співфінансування проекту "Амбулаторія на 3-4 лікаря по вул.Квітневій, 4-А у смт. Нова Борова Хорошівського району Житомирської області - будівництво"</t>
  </si>
  <si>
    <t>Придбання телемедичного обладнання для амбулаторії загальної практики сімейної медицини по вул. Лесі Українки, 24 с. Дворище Хорошівського району,</t>
  </si>
  <si>
    <t>Співфінансування на придбання телемедичного обладнання для амбулаторії загальної практики сімейної медицини смт. Нові Білокоровичі по вул. Довженка, 1а, смт. Нові Білокоровичі, Коростенського району, Житомирської області</t>
  </si>
  <si>
    <t>Співфінансування на придбання телемедичного обладнання по амбулаторії загальної практики сімейної медицини в селі Мирославка, вул Лікарняна 68 В Бердичівського району Житомирської області</t>
  </si>
  <si>
    <t>Співфінансування придбання шкільного автобуса для опорного закладу освіти Ліцей № 5 імені Т.Г.Шевченка Коростишівської міської ради</t>
  </si>
  <si>
    <t>Співфінансування придбання ноутбуків для закладів загальної середньої освіти</t>
  </si>
  <si>
    <t>Придбання шкільного автобусу для відділу освіти Хорошівської селищної ради</t>
  </si>
  <si>
    <t>На придбання шкільного автобусу (співфінансування)</t>
  </si>
  <si>
    <t>На придбання ноутбуків (співфінансування)</t>
  </si>
  <si>
    <t>Співфінансування на придбання шкільного автобуса</t>
  </si>
  <si>
    <t>На співфінансування на придбання ноутбуків для педагогічних працівників комунальних закладів загальної середньої освіти для організації дистанційного навчання, інших форм здобуття загальної середньої освіти з використанням технологій дистанційного навчання</t>
  </si>
  <si>
    <t>Співфінансування для придбання ноутбуків для педагогічних працівників комунальних закладів загальної середньої освіти для організації дистанційного навчання, інших форм здобуття загальної середньої освіти з використанням технологій дистанційного навчання</t>
  </si>
  <si>
    <t>Співфінансування на придбання ноутбуків для закладів загальної середньої освіти Бердичівської міської територіальної громади</t>
  </si>
  <si>
    <t>Співфінансування заходів, що реалізуються за рахунок субвенції з державного бюджету місцевим бюджетам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</si>
  <si>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0611191</t>
  </si>
  <si>
    <t>Співфінансування на придбання телемедичного обладнання для Суслівської амбулаторії загальної практики сімейної медицини вул.Івана Тимощука, 11А с.Сусли Новоград-Волинського району</t>
  </si>
  <si>
    <t xml:space="preserve">Співфінансування в розмірі 30% на придбання ноутбуків в кількості 46 штук в рамках використання коштів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t>
  </si>
  <si>
    <t xml:space="preserve">На співфінансування придбання ноутбуків за умови 30 % </t>
  </si>
  <si>
    <t xml:space="preserve">Співфінансування на придбання ноутбуків для закладів загальної середньої освіти </t>
  </si>
  <si>
    <t xml:space="preserve">Співфінансування на придбання ноутбуків для педагогічних працівників закладів загальної середньої освіти </t>
  </si>
  <si>
    <t xml:space="preserve">На співфінансування ноутбуків для закладів загальної середньої освіти </t>
  </si>
  <si>
    <t xml:space="preserve">Співфінансування на придбання ноутбуків </t>
  </si>
  <si>
    <t>Співфінансування придбання ноутбуків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</si>
  <si>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Співфінансування на придбання 18 ноутбуків для опорного навчального закладу "Червоненська ЗОШ І-ІІІ ступенів Червоненської селищної ради Житомирської області"</t>
  </si>
  <si>
    <t xml:space="preserve">Оплата на придбання ноутбуків </t>
  </si>
  <si>
    <t>Виконання інвестиційних проектів за рахунок інших субвенцій з державного бюджету</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</si>
  <si>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</si>
  <si>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</si>
  <si>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r>
      <t xml:space="preserve">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t>
    </r>
    <r>
      <rPr>
        <b/>
        <sz val="12"/>
        <color indexed="12"/>
        <rFont val="Times New Roman"/>
        <family val="1"/>
        <charset val="204"/>
      </rPr>
      <t>пунктів 11 - 14 частини другої статті 7</t>
    </r>
    <r>
      <rPr>
        <b/>
        <sz val="12"/>
        <rFont val="Times New Roman"/>
        <family val="1"/>
        <charset val="204"/>
      </rPr>
      <t xml:space="preserve"> або учасниками бойових дій відповідно до </t>
    </r>
    <r>
      <rPr>
        <b/>
        <sz val="12"/>
        <color indexed="12"/>
        <rFont val="Times New Roman"/>
        <family val="1"/>
        <charset val="204"/>
      </rPr>
      <t>пунктів 19 - 20 частини першої статті 6 Закону України "Про статус ветеранів війни, гарантії їх соціального захисту"</t>
    </r>
    <r>
      <rPr>
        <b/>
        <sz val="12"/>
        <rFont val="Times New Roman"/>
        <family val="1"/>
        <charset val="204"/>
      </rPr>
      <t>, та які потребують поліпшення житлових умов за рахунок відповідної субвенції з державного бюджету</t>
    </r>
  </si>
  <si>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</si>
  <si>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на проведення нормативної грошової оцінки земель у межах населених пунктів згідно рішення Житомирської обласної ради від 29.07.2021 № 196</t>
  </si>
  <si>
    <t>на проведення робіт з охорони земель, у тому числі на початок робіт по об"єкту "Будівництво протиерозійних споруд на землях Словечансько-Овруцького кряжу в районі сіл Словечне, Антоновичі, Листвин, Можари,  Верпа, Черевки Словечанської сільської ради Овруцького району Житомирської області" згідно рішення Житомирської обласної ради від 29.07.2021 № 196</t>
  </si>
  <si>
    <t>Капітальний ремонт покрівлі будівлі "Фізіотерапевтичне та гастроентерологічне відділення" за адресою: м.Бердичів, вулиця Європейська, 52</t>
  </si>
  <si>
    <t>Співфінансування придбання ноутбуків для закладів загальної середньої освіти Високівської сільської ради</t>
  </si>
  <si>
    <t>Співфінансування на придбання ноутбуків закладам загальної середньої освіти Олевської територіальної громади</t>
  </si>
  <si>
    <t>Співфінансування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(в частині придбання ноутбуків)</t>
  </si>
  <si>
    <t>Співфінансування на придбання ноутбуків для закладів загальної середньої освіти Пулинської селищної ради</t>
  </si>
  <si>
    <t>Співфінансування на придбання ноутбуків для педагогічних працівників комунальних закладів загальної середньої освіти Черняхівської територіальної громади</t>
  </si>
  <si>
    <t xml:space="preserve">Співфінансування з місцевого бюджету на придбання ноутбуків у навчальні кабінети закладів загальної середньої освіти </t>
  </si>
  <si>
    <t>Для співфінансування 30% на ноутбуки з метою якісної організації освітнього процесу у закладах освіти громади в умовах дистанційного навчання</t>
  </si>
  <si>
    <t>Для співфінансування на придбання ноутбуків для педагогічних працівників закладів загальної середньої освіти Тетерівської сільської ради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</si>
  <si>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Співфінансування на придбання шкільного автобусу для Коростенської міської територіальної громади </t>
  </si>
  <si>
    <t>Співфінансування придбання ноутбуків для вчителів</t>
  </si>
  <si>
    <t>Капітальний ремонт центрального стадіону по вул. Шевченка, смт Лугини, Коростенського району, Житомирської області</t>
  </si>
  <si>
    <t>Придбання та встановлення дитячого майданчика в м. Коростень</t>
  </si>
  <si>
    <t>Виготовлення технічних умов на водопостачання в с. Громада провулок Горького та вулиця Комарова</t>
  </si>
  <si>
    <t>Поточний ремонт водопроводу в с.Колодяжне по вул. Польовій</t>
  </si>
  <si>
    <t>Придбання вхідних дверей та віконних склопакетів для Будинку культури с.Кашперівка, сільських клубів с.Зеремля, с.Вірля</t>
  </si>
  <si>
    <t>Придбання гематологічного аналізатора та електрокардіографів для КНП "Центр ПМСД Семенівської сільської ради"</t>
  </si>
  <si>
    <t>Будівництво водогінної мережі по вул. Б. Хмельницького, пров. Б. Хмельницького, вул. Жовтнева в смт Романів</t>
  </si>
  <si>
    <t>Благоустрій прилеглої території біля пам"ятника Івана Виговського в с. Вигів</t>
  </si>
  <si>
    <t>Капітальний ремонт вітрового млина в с. Клинець</t>
  </si>
  <si>
    <t>Будівництво водогінних мереж в с.Гордіївка Романівського району Житомирської області</t>
  </si>
  <si>
    <t>Придбання холодильників, ноутбука, багатофункціонального пристрою, меблів для КНП "Овруцька міська лікарня"</t>
  </si>
  <si>
    <t xml:space="preserve">Капітальний ремонт покрівлі Іванківської ЗОШ І-ІІІ ступенів за адресою: вул. Мельника, 4, с. Іванків Андрушівського району, Житомирської області </t>
  </si>
  <si>
    <t>Придбання ігрового майданчика в с. Буки</t>
  </si>
  <si>
    <t>Придбання, заміна та встановлення дверей і жалюзів (15000) та придбання ноутбука (15000) для КЗ "Любарський ОЗЗСО І-ІІІ ст. № 2"</t>
  </si>
  <si>
    <t>Придбання бензопил для 5 ЗОШ Любарської громади (Опорна Липненська ЗОШ І-ІІІ ступенів, КЗ "Мотовилівський ОЗЗСО І-ІІІ ступенів ім. І.М. Мороза", Кириївської ЗОШ І-ІІІ ступенів, Привітівська ЗОШ І-ІІІ ступенів, Малобраталівська ЗОШ І-ІІІ ступенів)</t>
  </si>
  <si>
    <t xml:space="preserve">Реконструкція мереж вуличного освітлення с.Сарновичі Коростенського району Житомирської області </t>
  </si>
  <si>
    <t>Придбання та встановлення ігрового комплексу "Теремок" на площі Польовій, 5, у м.Житомирі</t>
  </si>
  <si>
    <t>Придбання ноутбука та кутового офісного стола для учнів 1-А класу Житомирської гуманітарної гімназії №1</t>
  </si>
  <si>
    <t>Придбання промислової пральної машини для КП "Дитяча лікарня імені В.Й.Башека" Житомирської міської ради</t>
  </si>
  <si>
    <t>Придбання автобусних зупинок в населених пунктах Кустин та Романівка Бердичівського району, Житомирської області</t>
  </si>
  <si>
    <t>Капітальний ремонт (утеплення фасадів) Бистрицького закладу дошкільної освіти "Сонечко"</t>
  </si>
  <si>
    <t>Придбання вікон у приміщення Скраглівської гімназії Бердичівської міської ради</t>
  </si>
  <si>
    <t>Придбання  будівельних матеріалів для КЗ "Стрижівський опорний заклад загальної середньої освіти І-ІІІ ступенів"</t>
  </si>
  <si>
    <t>Співфінансування придбання шкільного автобуса для Лопатицької загальноосвітньої школи І-ІІІ ступенів</t>
  </si>
  <si>
    <t xml:space="preserve">Придбання матеріалів для адаптації котельні до роботи басейну НВПФК в неопалювальний період </t>
  </si>
  <si>
    <t xml:space="preserve">Придбання обладнання для адаптації котельні до роботи басейну НВПФК в неопалювальний період </t>
  </si>
  <si>
    <t>Співфінансування на придбання шкільного автобуса для Лугинської селищної територіальної громади</t>
  </si>
  <si>
    <t>Співфінансування на придбання ноутбуків для педагогічних працівників закладів загальної середньої освіти Лугинської селищної територіальної громади</t>
  </si>
  <si>
    <t xml:space="preserve">Співфінансування на придбання шкільного автобуса </t>
  </si>
  <si>
    <t>Співфінансування на придбання ноутбуків для педагогічних працівників закладів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</si>
  <si>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Співфінансування на закупівлю шкільного автобуса</t>
  </si>
  <si>
    <t>Співфінансування для придбання 12 ноутбуків для Коднянського ліцею</t>
  </si>
  <si>
    <t>Співфінансування придбання ноутбуків для Дубрівської ЗОШ І-ІІІ ступенів</t>
  </si>
  <si>
    <t>Співфінансування придбання автобуса для підвезення учнів в рамках реалізації державної програми "Шкільний автобус"</t>
  </si>
  <si>
    <t>відновлення та вдосконалення професійних навичок учасників АТО/ООС, Революції гідності та членів сімей загиблих (померлих) таких осіб, спрямованих на сприяння підприємницької ініціативи, підвищення конкурентноспроможності на ринку праці</t>
  </si>
  <si>
    <t>на відновлення та вдосконалення професійних навичок учасників АТО/ООС, Революції гідності та членів сімей загиблих (померлих) таких осіб, спрямованих на сприяння підприємницької ініціативи, підвищення конкурентноспроможності на ринку праці</t>
  </si>
  <si>
    <t>Програма соціальної підтримки учасників АТО/ООС, родин загиблих, померлих, зниклих безвісти учасників АТО/ООС та Героїв Небесної Сотні на 2021 рік (на відновлення та вдосконалення професійних навичок учасників АТО/ООС, Революції гідності та членів сімей загиблих (померлих) таких осіб, спрямованих на сприяння підприємницької ініціативи, підвищення конкурентноспроможності на ринку праці)</t>
  </si>
  <si>
    <t>Субвенція з державного бюджету місцевим бюджетам на реалізацію інфраструктурних проектів та розвиток об'єктів соціально-культурної сфери</t>
  </si>
  <si>
    <t>Субвенція з державного бюджету місцевим бюджетам на розроблення комплексних планів просторового розвитку територій територіальних громад</t>
  </si>
  <si>
    <t xml:space="preserve">Співфінансування в розмірі 30% на придбання ноутбуків в кількості 12 штук в рамках використання коштів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t>
  </si>
  <si>
    <t>Співфінансування в розмірі 30% на придбання шкільного автобуса</t>
  </si>
  <si>
    <t xml:space="preserve">Придбання ноутбуків для закладів освіти </t>
  </si>
  <si>
    <t>КНП "Обласна клінічна лікарня ім. О.Ф. Гербачевського Житомирської обласної ради" для забезпечення надання високоспеціалізованої медичної допомоги громадянам Овруцької МТГ</t>
  </si>
  <si>
    <t>0611220</t>
  </si>
  <si>
    <t>Виконання заходів щодо створення навчально-практичних центрів сучасної професійної (професійно-технічної) освіти</t>
  </si>
  <si>
    <t>0611222</t>
  </si>
  <si>
    <t>Виконання заходів щодо створення навчально-практичних центрів сучасної професійної (професійно-технічної) освіти за рахунок субвенції з державного бюджету місцевим бюджетам</t>
  </si>
  <si>
    <t>0717380</t>
  </si>
  <si>
    <t>1619514</t>
  </si>
  <si>
    <t>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t>
  </si>
  <si>
    <t>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</si>
  <si>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0611221</t>
  </si>
  <si>
    <t>Співфінансувапння заходів, що реалізуються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</si>
  <si>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 xml:space="preserve">Придбання універсального вуличного тренажеру (10750), рухоходу воркаут (27184) та послуг з доставки (2066) для Ємільчинської селищної ради </t>
  </si>
  <si>
    <t xml:space="preserve">Придбання матеріалів та обладнання для ремонту системи опалення у Павлівський Будинок культури  
</t>
  </si>
  <si>
    <t>Придбання концертних костюмів для художньої самодіяльності</t>
  </si>
  <si>
    <t>Придбання електричної м»ясорубки для Дівочківської гімназії</t>
  </si>
  <si>
    <t xml:space="preserve">Придбання шафи холодильної 2-х секційної для Черняхівського ліцею № 1 </t>
  </si>
  <si>
    <t>Придбання трьох стелажів-сушок для посуду для Черняхівського ліцею № 2</t>
  </si>
  <si>
    <t xml:space="preserve">Придбання принтера для Видиборського ліцею </t>
  </si>
  <si>
    <t>Придбання обладнання для облаштування вуличного спортивного майданчика в ліцеї № 2 ім. Л.Х. Дарбіняна Коростишівської міської ради на суму 100,0 тис.грн</t>
  </si>
  <si>
    <t>Придбання будівельних матеріалів для ремонту спортивного залу Липненського ліцею Любарської селищної ради</t>
  </si>
  <si>
    <t>Придбання меблів для географічного кабінету Новочорторийського ліцею Любарської селищної ради</t>
  </si>
  <si>
    <t>Будівництво водогінної мережі по вул. Б.Хмельницького, пров. Хмельницького, вул.Жовтнева в смт Романів</t>
  </si>
  <si>
    <t>Монтажні роботи встановлення водонапірної башти в селищі міського типу Іванопіль Краснопільської сільської ради</t>
  </si>
  <si>
    <t>Придбання водопровідного обладнання</t>
  </si>
  <si>
    <t>Придбання бензинових газонокосилки та тримера для КУ "Новогуйвинська комплексна дитячо-юнацька спортивна школа" Новогуйвинської селищної ради</t>
  </si>
  <si>
    <t>Придбання учнівських столів та стільців для Троянівської ЗОШ І-ІІІ ст. Новогуйвинської селишної ради</t>
  </si>
  <si>
    <t>Співфінансування 30% на придбання ноутбуків в рамках використання коштів субвенції з державного бюджету місцевим бюджетам на заходи, спрямовані на боротьбу з гострою респіраторною хворобою COVID-19, спричиненою корона вірусом SARS-CoV-2, та її наслідками під час навчального процесу у закладах загальної середньої освіти (в частині придбання ноутбуків)</t>
  </si>
  <si>
    <t>На придбання квартир для Управління Служби безпеки України в Житомирській області на виконання рішення Господарського суду міста Києва від 28.01.2021 у справі № 910/12807/20</t>
  </si>
  <si>
    <t>Співфінансування на придбання ноутбуків для педагогічних працівників комунальних закладів загальної середньої освіти Коростенської міської територіальної громади</t>
  </si>
  <si>
    <t>Будівництво бюветів на території населених пунктів міської  територіальної громади</t>
  </si>
  <si>
    <t xml:space="preserve">Будівництво навчально-методичного центру (добудова зупиненого об’єкту незавершеного будівництва) по вул. Чуднівська, 103 в м.Житомирі (коригування) Державного Університету "Житомирська політехніка" </t>
  </si>
  <si>
    <t>Районний бюджет Житомирського району</t>
  </si>
  <si>
    <t xml:space="preserve">На придбання запчастин та технічне обслуговування автобуса ATAMAN для Тетерівського дитячого будинку-інтернату </t>
  </si>
  <si>
    <t xml:space="preserve">На співфінансування на придбання ноутбуків для педагогічних працівників закладів загальної середньої освіти </t>
  </si>
  <si>
    <t xml:space="preserve">Співфінансування на придбання ноутбуків для закладів  освіти </t>
  </si>
  <si>
    <t xml:space="preserve">На придбання та встановлення галогенератора з фізичним розщепленням високодисперсної аерозолі солі до певних розмірів з наступною подачею потоком повітря у приміщення для Радомишльської санаторної школи </t>
  </si>
  <si>
    <t>Співфінансування 30 % на придбання ноутбуків в рамках використання коштів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(в частині придбання ноутбуків)</t>
  </si>
  <si>
    <t>На співфінансування придбання шкільного автобуса для Старосілецького ліцею Старосілецької сільської ради Житомирської області</t>
  </si>
  <si>
    <t xml:space="preserve">Співфінансування заходів, спрямованих на боротьбу з гострою респіраторною хворобою COVID-19, спричиненою короновірусом SARS-COV-2, та її процесу у закладах загальної, середньої освіти ( в частині придбання ноутбуків) </t>
  </si>
  <si>
    <t>Співфінансування на придбання ноутбуків для педагогічних працівників комунальних закладів загальної середньої освіти Ємільчинської селещної ради</t>
  </si>
  <si>
    <t xml:space="preserve">Для співфінансування в розмірі 30 % на придбання 28 ноутбуків для педогагічних працівників закладів загальної середньої освіти в рамках використання коштів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(в частині придбання ноутбуків) </t>
  </si>
  <si>
    <t xml:space="preserve">На співфінансування придбання шкільного автобуса </t>
  </si>
  <si>
    <t xml:space="preserve">На співфінансування на придбання ноутбуків для закладів загальної середньої освіти Курненської сільської ради </t>
  </si>
  <si>
    <t>Придбання обладнання акустичної музичної апаратури для Глибочанської ЗОШ І-ІІ ст. Новогуйвинської селищної ради</t>
  </si>
  <si>
    <t>Придбання товарів для поточного ремонту терапевтичного відділення КНП "Словечанська районна лікарня"</t>
  </si>
  <si>
    <t xml:space="preserve">Поточний ремонт частини приміщень будівлі селищної ради за адресою: Житомирський район, смт Новогуйвинське, вул. Дружби народів, 5 </t>
  </si>
  <si>
    <t xml:space="preserve">Розроблення проектно-кошторисної документації "Реконструкція системи водопостачання в смт Новогуйвинське Житомирського району Житомирської області </t>
  </si>
  <si>
    <t>Придбання 2 дитячих майданчиків в с.Старий Любар та смт Любар</t>
  </si>
  <si>
    <t>Заміна 9 дверей та 2 вікон на пластикові в амбулаторії загальної практики сімейної медицини с.Нова Чортория</t>
  </si>
  <si>
    <t>Придбання акустичних систем в кількості 2 шт для Врублівської філії КУ Романівської селищної ради "Романівський будинок культури"</t>
  </si>
  <si>
    <t>Придбання дитячого майданчика "Канатний комплексний парк"</t>
  </si>
  <si>
    <t>Придбання крісел для глядацької зали Почуйківського Будинку культури за адресою: с.Почуйки, вул. Миру, 2-Г, Житомирського району, Житомирської області</t>
  </si>
  <si>
    <t>Придбання твердопаливного котла для КУ "Вишевицький ліцей", що знаходиться за адресою: с.Вишевичі, вул.Миру, 5</t>
  </si>
  <si>
    <t>На соціально-економічний розвиток територіальної громади, а саме для проведення благоустрою території громади</t>
  </si>
  <si>
    <t>Придбання спортивного інвентаря для ДЮСШ Довбиської селищної ради</t>
  </si>
  <si>
    <t>Придбання матеіалів та обладнання для КУ "Центр дозвілля та культури" Довбиської селищної ради</t>
  </si>
  <si>
    <t>Проведення інтернету в КЗ "Іванопільський ліцей" Краснопільської сільської ради в смт Іванопіль</t>
  </si>
  <si>
    <t>Придбання та встановлення елементів дитячих майданчиків</t>
  </si>
  <si>
    <t>Капітальний ремонт примішення закладу дошкільної освіти "Дзвіночок" Швайківської сільської ради по вул. Шевченка, 55 в с.Мирославка Бердичівського району Житомирської області</t>
  </si>
  <si>
    <t xml:space="preserve">Придбання обладнання та предметів довгострокового користування (комп"ютерів та багатофункціональних пристроїв) для облаштування нового приміщення Центру надання адміністративних послуг Новогуйвинської селищної ради </t>
  </si>
  <si>
    <t>Фінансова підтримка для Новогуйвинського ВЖРЕКП на погашення заборгованості перед КП "Житомирводоканал" за надані послуги з водопостачання та водовідведення</t>
  </si>
  <si>
    <t>Проведення поточного ремонту вулиці Житомирської в смт Гуйва</t>
  </si>
  <si>
    <t>Проведення поточного ремонту вулиці Андрушка в с. Крута</t>
  </si>
  <si>
    <t>Проведення поточного ремонту вулиці Лісова в с. Крута</t>
  </si>
  <si>
    <t>Проведення поточного ремонту вулиці Шевченка в с. Вертокиївка</t>
  </si>
  <si>
    <t>Проведення поточного ремонту вулиці Північна в с. Вертокиївка</t>
  </si>
  <si>
    <t>Придбання комплекту одягу сцени: комплект звукового обладнання             (270 000 грн) та комплект світлового обладнання  (73 800 грн) для Ємільчинського центрального Будинку культури</t>
  </si>
  <si>
    <t>Створення комунального підприємства "Туристично-інформаційний центр" Олевської міської ради, придбання обладнання та капітальний ремонт приміщень</t>
  </si>
  <si>
    <t>Капітальний ремонт покрівлі нежитлового приміщення по вул.Богдана Хмельницького, 4 в м.Олевськ, Коростенського району Житомирської області</t>
  </si>
  <si>
    <t>Встановлення кисневих точок в КНП "Лугинська центральна лікарня" Лугинської селищної ради Коростенського району Житомирської області</t>
  </si>
  <si>
    <t>Капітальний ремонт покрівлі будівлі бак-лабораторії, пральні, стоматологічного відділення та харчоблоку КНП "Чуднівська лікарня" в м.Чуднів Чуднівського району  Житомирської області. Коригування</t>
  </si>
  <si>
    <t>Встановлення бетонної огорожі на кладовищі в Очеретянському старостинському окрузі Черняхівської селищної ради</t>
  </si>
  <si>
    <t xml:space="preserve">Придбання кухонного інвентарю для Житомирського дошкільного навчального закладу № 52 </t>
  </si>
  <si>
    <t>Придбання промислової швейної машинки (9410) та оверлока (7290) для Житомирського дошкільного навчального закладу № 71</t>
  </si>
  <si>
    <t>Придбання ноутбука для Житомирського центру розвитку дитини № 53 "АБВГДЕЙКА"</t>
  </si>
  <si>
    <t xml:space="preserve">Заміна вікна на металопластикове в спальному приміщенні групи Капітошка Житомирського закладу дошкільної освіти № 1 </t>
  </si>
  <si>
    <t>Придбання дитячого ігрового комплексу для Житомирського дошкільного навчального закладу № 35</t>
  </si>
  <si>
    <t>Придбання захистних масок, респіраторів, тампонів-зондів для ПЛР обстеження для КНП "Центр первинної медико-санітарної допомоги"Новоград-Волинської міської ради</t>
  </si>
  <si>
    <t>Придбання пульсоксиметрів та безконтактних термометрів для КНП "Центр первинної медико-санітарної допомоги"Новоград-Волинської міської ради</t>
  </si>
  <si>
    <t>Облаштування дитячого майданчика на території Потіївської сільської ради</t>
  </si>
  <si>
    <t xml:space="preserve">Придбання будівельного матеріалу для заміни плитки в коридорі АЗПСМ смт Ємільчине </t>
  </si>
  <si>
    <t>Придбання вуличних автономних фонарів для Потіївської ТГ</t>
  </si>
  <si>
    <t>Виконання робіт по гідродинамічному очищенню та ремонту водонапірної башти КП "Корнин" Корнинської селищної ради</t>
  </si>
  <si>
    <t>Придбання спортивного обладнання для Корнинського опорного освітнього закладу  I-III ступенів Корнинської селищної ради</t>
  </si>
  <si>
    <t>Придбання духових музичних інструментів для Баранівської школи мистецтв</t>
  </si>
  <si>
    <t>Капітальний ремонт частини приміщень будівлі клініко-діагностичної лабораторії за  адресою провулок Промисловий, 2 м. Олевськ Житомирської області</t>
  </si>
  <si>
    <t>Придбання комплекту меблів в їдальню Варварівської ЗОШ I-III ступенів Олевської міської ради</t>
  </si>
  <si>
    <t>Поточний ремонт приміщень Будинку культури за адресою: смт. Мар'янівка вул. Романівська,3</t>
  </si>
  <si>
    <t>Придбання меблів для Довбиської ЗОШ  I-III ступенів</t>
  </si>
  <si>
    <t>Придбання спортивного інвентарю (м'ячі футбольні, волейбольні, баскетбольні) для Кам'янобрідського ліцею ім. В'ячеслава Чорновола</t>
  </si>
  <si>
    <t xml:space="preserve">Встановлення кисневих точок в КНП "Лугинська центральна лікарня" Лугинської селищної ради </t>
  </si>
  <si>
    <t>Ремонт внутрішніх туалетів в Червоноволоцькому ЗЗСО  I-III ступенів Лугинської селищної ради</t>
  </si>
  <si>
    <t>Придбання спортивного інвентарю с. Строків Попільнянської селищної ради</t>
  </si>
  <si>
    <t>На покращення благоустрою Горщиківської сільської ради</t>
  </si>
  <si>
    <t>Придбання спортивного інвентарю та обладнання для закладів загальної середньої освіти Семенівської сільської ради</t>
  </si>
  <si>
    <t>Капітальний ремонт частини цілісного майнового комплексу (відділень першого поверху центрального корпусу) Комунальне некомерційне підприємство "Коростенська центральна районна лікарня" Ушомирської сільської ради по вул.Жмаченка,46 м. Коростень Житомирської області</t>
  </si>
  <si>
    <t>Придбання кисневого концентратора високого потоку для Комунального некомерційного підприємства "Ємільчинська лікарня" Ємільчинської селищної ради Житомирської області</t>
  </si>
  <si>
    <t>Придбання концентраторів кисню 10 л з двома потоками для комунального некомерційного підприємства "Любарська лікарня" Любарської селищної ради</t>
  </si>
  <si>
    <t>Придбання товарів для поточного ремонту хірургічного та дитячого відділень КНП "Словечанська районна лікарня"</t>
  </si>
  <si>
    <t>Придбання предметів та матеріалів для відділу "Центр надання адміністративних послуг Словечанської сільської ради"</t>
  </si>
  <si>
    <t>Придбання матеріалів для освітлення спортивного майданчика Старомайданської філії ОЗЗСО Стрибізька ЗОШ I-III ступенів</t>
  </si>
  <si>
    <t>Придбання стоматологічного крісла</t>
  </si>
  <si>
    <t>Придбання мікшерного пульту Yamaha для КЗ "Центр культури і дозвілля" Пулинської селищної ради</t>
  </si>
  <si>
    <t>Придбання озвучення для проведення спортивних та святкових заходів на стадіоні "Колос" Пулинської селищної ради</t>
  </si>
  <si>
    <t>Придбання музичного обладнання для Будинку культури с.Ясна Поляна Пулинської селищної ради</t>
  </si>
  <si>
    <t>Придбання та встановлення дитячого спортивного майданчика для Радомишльського ліцею ім. Т.Г.Шевченка</t>
  </si>
  <si>
    <t xml:space="preserve">Придбання меблів для Радомишльського ліцею ім. Т.Г.Шевченка </t>
  </si>
  <si>
    <t>Придбання безкаркасних мяких меблів для Центру дозвілля Радомишльського міського Будинку культури</t>
  </si>
  <si>
    <t xml:space="preserve">Придбання та встановлення дитячого майданчика у м. Радомишль </t>
  </si>
  <si>
    <t>Придбання спортивного інвентаря та обладнання для Радомишльської дитячо-юнацької спортивної школи</t>
  </si>
  <si>
    <t xml:space="preserve">Придбання ноутбука та кольорового принтера-сканера для ЗДО "Веселочка" Вчорайшенської сільської ради с.Нова Чорнорудка та кольорових принтерів-сканерів для Вчорайшенського  ЗДО "Малятко" с. Вчорайше, ЗДО "Ромашка" Вчорайшенської сільської ради с. Роставиця, ЗДО "Сонечко" Вчорайшенської сільської ради с. Мала Чернявка </t>
  </si>
  <si>
    <t>Придбання ліхтарів вуличного освітлення на сонячних батареях для встановлення в с. Мирне Бердичівського району Житомирської області по вулиці Козацька, біля будинків 1, 3/1</t>
  </si>
  <si>
    <t>Придбання меблів ( 31 000 грн), медичної кушетки оглядової (4 500 грн), рукомийника "Мойдодир" (3 000 грн), тонометра автоматичного (1 500 грн), інфрачервоного безконтактного термометра                          (800 грн), пульсоксиметра ( 500 грн), ваги підлогової ( 500 грн), стерилізатора для медичних інструментів (сухожарова шафа)  (7 200 грн) для ФАПу с. Кустин Бердичівського району Житомирської області</t>
  </si>
  <si>
    <t>Придбання медичного обладнання (газовий аналізатор крові та електролітів) для комунального некомерційного підприємства " Центральна районна лікарня Бердичівського району"  Гришковецької селищної, Райгородоцької, Семенівської та Швайківської сільських рад</t>
  </si>
  <si>
    <t>Капітальний ремонт покрівлі будівлі бак-лабораторії, пральні, стоматологічного відділення та харчоблоку КНП "Чуднівська лікарня" в м.Чуднів Чуднівського району Житомирської області. Коригування</t>
  </si>
  <si>
    <t>Придбання предметів, матеріалів та інвентарю КНП "Чуднівський центр первинної медико-санітарної допомоги"</t>
  </si>
  <si>
    <t>Капітальний ремонт фасаду Будинку культури в с. Швайківка по вул. В.Загребля, 1а Бердичівського району Житомирської області</t>
  </si>
  <si>
    <t>Придбання елементів дитячого майданчика для управління житлового господарства Житомирської міської ради</t>
  </si>
  <si>
    <t xml:space="preserve">Озеленення території благоустрою Польського Бульвару </t>
  </si>
  <si>
    <t>Придбання медичного обладнання  для комунального підприємства "Лікарня №2 ім. В.П.Павлусенка" Житомирської міської ради  (пульсоксиметри для інфекційного відділення)</t>
  </si>
  <si>
    <t>Придбання комплекту інтерактивного обладнання (мультимедійна дошка, проєктор, акустична система, ноутбук) для загальноосвітньої Салезіянської школи "Всесвіт" м.Житомира</t>
  </si>
  <si>
    <t>Поточний ремонт внутрішньобудинкових мереж водопостачання та водовідведення за адресою: м.Житомир, вул. Старочуднівська, 12/77 (ТОВ "ЄСП "Корбутівка")</t>
  </si>
  <si>
    <t>Поточний ремонт внутрішньобудинкових мереж водопостачання та водовідведення в житловому будинку  за адресою: м.Житомир, вул. Старочуднівська, 9 (ТОВ "ЄСП "Корбутівка")</t>
  </si>
  <si>
    <t>Придбання матеріалів для проведення поточного ремонту внутрішньобудинкових систем теплопостачання в житловому будинку по вул. Чуднівська, 106 (ОСББ "Чуднівська, 106)</t>
  </si>
  <si>
    <t>Виготовлення ПКД для проведення капітального ремонту та заміни електроосвітлення, силових проводок, приладів обліку, розподільчих щитів в житловому будинку по вул. Східній, 73 в м. Житомирі (ПП"Євро Сервіс Плюс")</t>
  </si>
  <si>
    <t>Придбання мультимедійного проектору та екрану для загальноосвітньої школи  I-III ступенів №12                        м. Бердичева Житомирської області</t>
  </si>
  <si>
    <t>Придбання ноутбука для загальноосвітньої школи      I-III ступенів № 7 імені Віктора Пастуха                        м. Бердичева Житомирської області</t>
  </si>
  <si>
    <t>Придбання та встановлення дитячого ігрового майданчика на прибудинковій території житлового будинку по вул. Б.Хмельницького, 5-а, вул. Садова,27 в м. Бердичеві (ОССБ "Левада-5А-27")</t>
  </si>
  <si>
    <t>Придбання технологічного обладнання для їдальні Коростенської загальноосвітньої школи I-III ступенів №13 Житомирської області</t>
  </si>
  <si>
    <t>Придбання меблів для шкільної медіатеки навчально-виховного комплексу "Школа-гімназія" №12 м. Коростеня</t>
  </si>
  <si>
    <t>Придбання та встановлення дитячого майданчику у дворі будинку 23-А по вул. Сосновського в                   м. Коростень</t>
  </si>
  <si>
    <t>Заміна вікон на енергозберігаючі в актовій залі Коростенського навчально-виховного комплексу "Школа-гімназія №2 імені Володимира Сингаївського" Житомирської області</t>
  </si>
  <si>
    <t>Придбання та встановлення попереджувальних манекенів для організації безпеки дорожнього руху у м. Коростень у кількості 4 штук</t>
  </si>
  <si>
    <t>Придбання стендів в кабінети початкових класів Васьковицького ліцею Коростенської міської ради</t>
  </si>
  <si>
    <t xml:space="preserve">Придбання електром'ясорубки, електронних вагів, насосу для системи опалення, електрокосарки з подовжувачем та пеналу для зберігання постільної білизни для Васьковицького закладу дошкільної освіти Коростенської міської ради </t>
  </si>
  <si>
    <t>Придбання медичного обладнання для комунального некомерційного підприємства "Коростенська центральна міська лікарня Коростенської міської ради"</t>
  </si>
  <si>
    <t>Придбання книжкових шаф для облаштування музичної зали та методичного кабінету дошкільного навчального закладу №10 м. Коростеня</t>
  </si>
  <si>
    <t>Придбання систем очищення питної води для дошкільних навчальних закладів Малинської міської територіальної громади</t>
  </si>
  <si>
    <t>Придбання обладнання для КНП "Малинська міська лікарня" (центрифуги для білизни, баку для обробки рентген-плівки, інфузомату однолінійного)</t>
  </si>
  <si>
    <t>Придбання мультимедійного проектора і проекційного екрану для дошкільного навчального закладу №3 м.Малина</t>
  </si>
  <si>
    <t>Придбання дверей - 7 000 грн, телевізора - 10 000 грн, акустичної системи з мікрофоном - 3 000 грн для дошкільного навчального закладу №6 м. Малин</t>
  </si>
  <si>
    <t>Реконструкція існуючого рентгенодіагностичного кабінету з встановленням цифрової системи мамографічної в КНП "Житомирська багатопрофільна опорна лікарня" Новогуйвинської селищної ради по шосе Сквирське,3 в с. Станишівка Житомирського району</t>
  </si>
  <si>
    <t>Придбання офісних меблів - 42 400 грн, вивіски, таблички - 29 300 грн, комп'ютерів та багатофункціональних пристроїв - 4 500 грн, інформаційних стендів - 5 200 грн, сейфів - 25 500 грн для Центру надання адміністративних послуг Новогуйвинської селищної ради</t>
  </si>
  <si>
    <t>Придбання матеріалів для облицювання підлоги приміщення КНП ЦПМСД Романівської селищної ради</t>
  </si>
  <si>
    <t>Придбання та встановлення дитячих майданчиків у населених пунктах Ружинської селищної територіальної громади</t>
  </si>
  <si>
    <t>Виготовлення технічної документації для ремонту спортивної зали Ружинської гімназії</t>
  </si>
  <si>
    <t>Придбання принтерів для закладів дошкільної освіти  Ружинської селищної ради</t>
  </si>
  <si>
    <t>Придбання дитячого майданчика для Черняхівського закладу дошкільної освіти № 4 за адресою смт. Черняхів, вул. Володимирська,123</t>
  </si>
  <si>
    <t>Капітальний ремонт котельні із заміною котельного устаткування КНП "Черняхівське територіальне медичне об'єднання" за адресою смт. Черняхів, вул. Івана Франка, 42-3</t>
  </si>
  <si>
    <t>Встановленя бетонної огорожі на кладовищі в Очеретянському старостинському окрузі Черняхівської селищної ради</t>
  </si>
  <si>
    <t>Капітальний ремонт частини цілісного майнового комплексу (відділень першого поверху центрального корпусу) Комунальне некомерційне підприємство "Коростенська центральна районна лікарня" Ушомирської сільської ради по вул.Жмаченка 46 м.Коростень Житомирської області</t>
  </si>
  <si>
    <t>Придбання елементів надгробка на могилу загиблого учасника АТО/ООС Котенка Олега</t>
  </si>
  <si>
    <t>Формування звіту та пропозицій розвитку на основі аналізу поточного стану громади  для Новогуйвинської селищної ради (Стратегія розвитку 2030)</t>
  </si>
  <si>
    <t>Придбання дитячого ігрового майданчика для встановлення в с.Браженка</t>
  </si>
  <si>
    <t>Придбання комплекту меблів для Попільнянського ЗДО "Чебурашка"</t>
  </si>
  <si>
    <t>Придбання кисневого концентратору високого потоку потужністю 0-20 л/хв для КНП "Ємільчинська лікарня"</t>
  </si>
  <si>
    <t>Надання цільової адресної соціальної матеріальної допомоги  срібній призерці Олімпійських ігор 2020 року Четверіковій Анастасії Андріївні на придбання житла (на умовах співфінансування)</t>
  </si>
  <si>
    <t>0611061</t>
  </si>
  <si>
    <t xml:space="preserve">Надання загальної середньої освіти закладами загальної середньої освіти </t>
  </si>
  <si>
    <t xml:space="preserve">3. </t>
  </si>
  <si>
    <t>Ремонт навчальних приміщень для розміщення лабораторії кіберфізичних систем, яка буде використовуватися у підготовці бакалаврів, магістрів та докторів філософії та для проведення наукових досліджень у державному університеті "Житомирська політехніка"</t>
  </si>
  <si>
    <t>Реконструкція стадіону з облаштуванням спортивного майданчику із штучним покриттям Житомирської спеціальної школи N 2 Житомирської обласної ради за адресою: місто Житомир, проїзд професора Арциховського, 8</t>
  </si>
  <si>
    <t xml:space="preserve">2021-2022 </t>
  </si>
  <si>
    <t>Ремонтно-реставраційні роботи будинку Національного музею космонавтики ім. С.П.Корольова Житомирської обласної ради за адресою вул. Дмитрівська, 2,  м.Житомир (розроблення проектної документації, технічне обстеження, експертиза)</t>
  </si>
  <si>
    <t>Капітальний ремонт каналізаційних мереж Житомирського обласного ліцею Житомирської обласної ради за адресою м.Житомир, вул. Коростишівська, 15</t>
  </si>
  <si>
    <t>мельник 5000000Трокоз 1430000</t>
  </si>
  <si>
    <t>Мельник 16500000 Бондар 7000000</t>
  </si>
  <si>
    <t>Трокоз 348300</t>
  </si>
  <si>
    <t>Придбання спортивного інвентаря та будівельних матеріалів для ремонту спортивного приміщення  18 Державної пожежно-рятувальної частини смт Ємільчине</t>
  </si>
  <si>
    <t xml:space="preserve">2. </t>
  </si>
  <si>
    <t>Ремонт приміщення Житомирського обласного територіального центру комплектування та соціальної підтримки</t>
  </si>
  <si>
    <t>Придбання оргтехніки для Житомирського обласного територіального центру комплектування та соціальної підтримки</t>
  </si>
  <si>
    <t>28</t>
  </si>
  <si>
    <t>Придбання транспортного засобу для Державної екологічної інспекції Поліського округу</t>
  </si>
  <si>
    <t>4.</t>
  </si>
  <si>
    <t>Придбання приладів для пошуку вибухонебезпечних предметів, спортивного інвентаря для Державної установи "Житомирський навчальний центр підготовки поліцейських"</t>
  </si>
  <si>
    <t xml:space="preserve">Обласна Програма забезпечення реалізації державної політики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(на території Житомирської області) на 2021-2025 роки  </t>
  </si>
  <si>
    <t>на співфінансування проекту "Капітальний ремонт харчоблоку КУ "Вишевицький ліцей", що знаходиться за адресою: с. Вишевичі, вул. Миру, 5, Радомишльський район, Житомирська область для КУ "Вишевицький ліцей"</t>
  </si>
  <si>
    <t>на придбання принтера для Народицької гімназії</t>
  </si>
  <si>
    <t>на придбання телевізора для Народицької гімназії</t>
  </si>
  <si>
    <t>на придбання принтера та спортивного інвентаря для Заліського НВК "ЗНЗ І-ІІІ ст.-ДНЗ"</t>
  </si>
  <si>
    <t>на придбання сценічних костюмів для КЗ "Центр культури та дозвілля" Новоборівської селищної ради</t>
  </si>
  <si>
    <t>на придбання дитячого майданчика для Потіївської сільської ради</t>
  </si>
  <si>
    <t>на виконання робіт по гідродинамічному очищенню та ремонту водонапірної башти КП Корнин для Корнинської селищної ради</t>
  </si>
  <si>
    <t xml:space="preserve">на придбання та встановлення котла в групі короткотривалого перебування дітей для ЗДО с. Хочине </t>
  </si>
  <si>
    <t xml:space="preserve">на капітальний ремонт нежитлового приміщення по вул. Богдана Хмельницького, 4 в м. Олевськ, Коростенського району, Житомирської області </t>
  </si>
  <si>
    <t xml:space="preserve">на продовження капітального ремонту частини приміщень будівлі клініко-діагностичної лабораторії за адресою: провулок Промисловий, 2 м. Олевськ, Житомирської області для КНП "Олевська центральна лікарня" </t>
  </si>
  <si>
    <t>на виготовлення ПКД на "Капітальний ремонт котельні із заміною котельного устаткування Новоозерянського НВК по вул. Заводська, 5 в смт Новоозерянка Коростенського району Житомирської області"</t>
  </si>
  <si>
    <t xml:space="preserve">на продовження капітального ремонту частини приміщень будівлі клініко-діагностичної лабораторії  за адресою провулок Промисловий, 2 м. Олевськ, Житомирської області </t>
  </si>
  <si>
    <t>на придбання комплекту Інтернет обладнання зі встановленням (свіч, Wi-Fi роутери, мережевий інтернет кабель), ноутбука в Олевську гімназію</t>
  </si>
  <si>
    <t>на придбання ноутбука для Замисловицької ЗОШ І-ІІІ ст. Олевської міської ТГ</t>
  </si>
  <si>
    <t>на виготовлення ПКД для ремонту неврологічного відділення КНП Олевська ЦЛ Олевської міської ради</t>
  </si>
  <si>
    <t>на капітальний ремонт частини приміщень з улаштуванням засобів доступності осіб з інвалідністю та інших маломобільних груп населення в КНП "Амбулаторія загальної практики сімейної медицини" Городницької селищної ради по вул. Паркова, 34 в смт Городниця Новоград - Волинського району Житомирської області (коригування)</t>
  </si>
  <si>
    <t>на придбання та встановлення комплектуючих системи відеоконтролю в місцях загального користування сел.Мар'янівка</t>
  </si>
  <si>
    <t>на проведення капітального ремонту центрального стадіону по вул. Шевченка, смт Лугини Коростенського району, Житомирської області</t>
  </si>
  <si>
    <t xml:space="preserve">на придбання металопластикових дверей в Лугинську ЗОШ І-ІІІ ст. №2 </t>
  </si>
  <si>
    <t xml:space="preserve">на придбання посуду в Лугинський ЗДО "Сонечко" </t>
  </si>
  <si>
    <t xml:space="preserve">на придбання ноутбука в сільський клуб с. Колодяжне </t>
  </si>
  <si>
    <t>на придбання дитячого ігрового майданчика в с. Печанівка</t>
  </si>
  <si>
    <t xml:space="preserve">на придбання дверей в сільський клуб с. Колодяжне </t>
  </si>
  <si>
    <t xml:space="preserve">на придбання сценічних костюмів народному хору української пісні Хорошівського БК </t>
  </si>
  <si>
    <t xml:space="preserve">на придбання сценічних костюмів вокальному ансамблю "Вишиванка" Рижанського сільського клубу-філіалу </t>
  </si>
  <si>
    <t>на поточний ремонт спортивного майданчика філії Хорошівського ліцею №2 в с. Поромівка</t>
  </si>
  <si>
    <t>на придбання спортивного обладнання для майданчика філії Хорошівського ліцею №2 с.Поромівка</t>
  </si>
  <si>
    <t>на придбання футбольної форми, спортивного інвентарю  для ФК "Явір" Білокоровицької сільської ради</t>
  </si>
  <si>
    <t>на придбання спеціальної техніки (трактора) для вивезення побутових відходів для Горщиківської сільської ради</t>
  </si>
  <si>
    <t>на виготовлення проектно-кошторисної документації на будівництво водогінної мережі в с. Лихосілка</t>
  </si>
  <si>
    <t>на оформлення дозволів на спеціальне водокористування та виготовлення паспортів артезіанських свердловин в селах Краснопільської сільської ради</t>
  </si>
  <si>
    <t xml:space="preserve">на придбання щебеневої суміші на підсипку дороги по вул. Польова в с. Бурківці </t>
  </si>
  <si>
    <t xml:space="preserve">на придбання меблів для Великонизгірецького ДНЗ "Золотий ключик" </t>
  </si>
  <si>
    <t>на придбання мультимедійних комплексів для закладів ЗСО Семенівської сільської ради</t>
  </si>
  <si>
    <t>на поточний ремонт подвір"я Великонизгірецької філії Красівського ліцею</t>
  </si>
  <si>
    <t>на придбання лінолеуму та допоміжних матеріалів для 1 класу Пісківської ЗОШ І-ІІІ ст.</t>
  </si>
  <si>
    <t>на придбання кухонного посуду для ЗЗСО Станишівської сільської ради</t>
  </si>
  <si>
    <t xml:space="preserve">на придбання та встановлення фільтрувальної установки зворотнього осмосу для фільтрації води в Зарічанський ЗДО "Джерельце" </t>
  </si>
  <si>
    <t xml:space="preserve">на придбання та встановлення насосу стабілізації тиску води для Зарічанського ЗДО "Джерельце" </t>
  </si>
  <si>
    <t>на придбання 3-х телевізорів для Зарічанської гімназії</t>
  </si>
  <si>
    <t>на придбання ноутбука для Зарічанської гімназії</t>
  </si>
  <si>
    <t>на придбання холодильника для Зарічанської гімназії</t>
  </si>
  <si>
    <t xml:space="preserve">на придбання жалюзів для Зарічанського ЗДО "Джерельце" </t>
  </si>
  <si>
    <t>на придбання жалюзів для Зарічанської гімназії</t>
  </si>
  <si>
    <t>на капітальний ремонт частини цілісного майнового комплексу (відділень першого поверху центрального корпусу) Комунальне некомерційне підприємство "Коростенська центральна районна лікарня" Ушомирської сільської ради по вул. Жмаченка 46 м. Коростень Житомирської області</t>
  </si>
  <si>
    <t xml:space="preserve">на придбання меблів (шаф, столів в кабінет директора та учительську) для  Яблунівської ЗОШ І-ІІ ст. </t>
  </si>
  <si>
    <t>на придбання сумок укладок сімейним лікарям АЗПСМ с. Гульськ, с. Романівка для КНП "ЦПМСД Чижівської сільської ради Новоград-Волинського району Житомирської області"</t>
  </si>
  <si>
    <t>на придбання монітора пацієнта укомплектованого кріпленням, електрокардіографа 6-ти канального, портативного пульсоксиметра для КНП "Ємільчинська лікарня"</t>
  </si>
  <si>
    <t>на проведення поточного ремонту грунтово-щебеневих доріг по Кулішівському старостинському округу</t>
  </si>
  <si>
    <t>на придбання світодіодних світильників для КЗ "Любарська центральна районна бібліотека"</t>
  </si>
  <si>
    <t>на придбання холодильника, промислової м'ясорубки, промислової праски для Любарського ЗДО</t>
  </si>
  <si>
    <t xml:space="preserve">на заміну 4-х вікон в кабінет хімії для Великодеревичівської ЗОШ І-ІІІ ст. </t>
  </si>
  <si>
    <t xml:space="preserve">на придбання комп'ютерної техніки для Поліянівської ЗОШ І-ІІ ст. </t>
  </si>
  <si>
    <t xml:space="preserve">на придбання меблів у вхідний хол та коридори для Новороманівської ЗОШ І-ІІІ ст. </t>
  </si>
  <si>
    <t>на придбання музичної апаратури для Школи мистецтв Словечанської сільської ради</t>
  </si>
  <si>
    <t>на придбання мультимедійного проектора та магнітно-маркерної дошки у швейну майстерню для ОНЗ "Словечанська ЗОШ І-ІІІ ст."</t>
  </si>
  <si>
    <t>на придбання шкільних меблів для кабінету фізики ОНЗ "Словечанська ЗОШ І-ІІІ ст."</t>
  </si>
  <si>
    <t>на придбання предметів та матеріалів для відділу "ЦНАП Словечанської сільської ради"</t>
  </si>
  <si>
    <t>на придбання предметів, матеріалів, обладнання, інвентаря, обладнання і предметів довгострокового користування для Овруцької ДЮСШ</t>
  </si>
  <si>
    <t>на капітальний ремонт частини покрівлі нежитлової будівлі харчоблоку КНП "Овруцька міська лікарня" Овруцької міської ради за адресою: вул. Т. Шевченка, 106, Овруцького району, Житомирської області</t>
  </si>
  <si>
    <t xml:space="preserve">на придбання матеріалів для освітлення спортивного майданчика Старомайданської філії ОЗЗСО Стрибізької ЗОШ І-ІІІ ст. </t>
  </si>
  <si>
    <t xml:space="preserve">на придбання кухонного приладдя, меблів та посуду для ОЗЗСО Курненська ЗОШ І-ІІІ ст. </t>
  </si>
  <si>
    <t>на придбання опалювального котла на твердому паливі для КЗПО "Центр дитячої та юнацької творчості" Пулинської селищної ради</t>
  </si>
  <si>
    <t>на придбання комп'ютерного обладнання, проєктора та акустичної системи для КЗПО "Центр дитячої та юнацької творчості" Пулинської селищної ради</t>
  </si>
  <si>
    <t xml:space="preserve">на поточний ремонт Міської оглядової вежі </t>
  </si>
  <si>
    <t xml:space="preserve">на придбання твердопаливного котла для Великорацького ЗДО "Сонечко" </t>
  </si>
  <si>
    <t xml:space="preserve">на придбання твердопаливного котла для Радомишльського ЗДО №7 "Дзвіночок" </t>
  </si>
  <si>
    <t>на поточний ремонт приміщення Центру позашкільної освіти Радомишльської міської ради</t>
  </si>
  <si>
    <t>на придбання спортивного обладнання для лікувально-фізкультурного кабінету Інклюзивно-ресурсного центру Радомишльської міської ради</t>
  </si>
  <si>
    <t xml:space="preserve">на придбання матеріалів та обладнання для кабінетів математики та фізики Левківського ліцею </t>
  </si>
  <si>
    <t xml:space="preserve">на придбання дитячого майданчика в с. Зороків </t>
  </si>
  <si>
    <t>на придбання смарт-телевізора для КЗ "Вільшанський ліцей"</t>
  </si>
  <si>
    <t>на придбання дитячого майданчика в с. Звиняче Вчорайшенської сільської ради</t>
  </si>
  <si>
    <t>на виготовлення ПКД на капітальний ремонт дороги по вул. Загребельна в с. Буряки Бердичівського району, Житомирської області</t>
  </si>
  <si>
    <t>на проведення капітального ремонту теплової мережі та внутрішньої ситеми опалення для Райгородоцького ЗДО "Оленка" с. Райгородок Бердичівського району, Житомирської області</t>
  </si>
  <si>
    <t>на придбання спортивного інвентаря для Чуднівської ДЮСШ Чуднівської міської ради</t>
  </si>
  <si>
    <t>Капітальний ремонт покрівлі будівлі бак-лабораторії, пральні, стоматологічного відділення та харчоблоку КНП "Чуднівська лікарня" в м.Чуднів Чуднівського району Житомирської обл. Коригування</t>
  </si>
  <si>
    <t>на ремонт вуличного освітлення для КП "Благоустрій" Чуднівської міської ради</t>
  </si>
  <si>
    <t>на придбання та укладання лінолеуму у груповій, спальній кімнатах, придбання та встановлення дверей у групі для дітей з порушенням слуху для ДНЗ №33 м. Житомира</t>
  </si>
  <si>
    <t xml:space="preserve">на придбання телевізора в народний музей Святослава Ріхтера для закладу "Музична школа ім. Святослава Ріхтера </t>
  </si>
  <si>
    <t>на придбання комп'ютерного обладнання та персональних комп'ютерів для кабінету інформаційних технологій Державного НЗ "Центр легкої промисловості та побутового обслуговування населення м. Житомира"</t>
  </si>
  <si>
    <t>на придбання телевізора для ДНЗ №39 м. Житомир</t>
  </si>
  <si>
    <t xml:space="preserve">на придбання елементів декоративної підсвітки території благоустрою Бульвару Польського в м. Житомир </t>
  </si>
  <si>
    <t xml:space="preserve">на придбання та встановлення елементів дитячого майданчика для ОСББ "Андромеда Житомир" </t>
  </si>
  <si>
    <t>на придбання комп'ютерної техніки (ноутбука) для ДНЗ №1 м. Житомир</t>
  </si>
  <si>
    <t>на придбання меблів у їдальню ЗОШ І-ІІІ ст. №9 м. Новограда-Волинського</t>
  </si>
  <si>
    <t>на придбання телевізорів для Харитонівської гімназії, Шахворостівському ліцею,  будинок культури с. Харитонівка</t>
  </si>
  <si>
    <t>на придбання оргтехніки для  Андрушівського ЗДО "Дзвіночок", Андрушівського ЗДО "Сонечко",  Лісівського ЗДО "Колобок", Нехворощанського ЗДО "Дзвіночок", КУ "Андрушівський інклюзивно-ресурсний центр"</t>
  </si>
  <si>
    <t>на придбання пульсоксиметрів новонародженим та дорослим для КНП "Бердичівська міська лікарня" Бердичівської міської ради</t>
  </si>
  <si>
    <t>на будівництво спортивного майданчика з м'яким покритям на території Навчально-виховного комплексу "Школа-гімназія-ліцей" №10 м. Бердичева Житомирської області</t>
  </si>
  <si>
    <t>на придбання принтера та відеокамери Спеціалізованій ЗОШ І-ІІІ ст. №8 з поглибленим вивченням окремих предметів та курсів м.Бердичів</t>
  </si>
  <si>
    <t>на придбання шкільних меблів Бердичівській ЗОШ І-ІІІ ст. №12</t>
  </si>
  <si>
    <t>на придбання БФП, мультимедійного проектора Спеціалізованій ЗОШ І-ІІІ ст. №17 з поглибленим вивченням окремих предметів та курсів м.Бердичів</t>
  </si>
  <si>
    <t>на придбання дитячого майданчика в селище Новоівницьке</t>
  </si>
  <si>
    <t>на придбання електрорушників, фарби, енергозберігаючих світильників, поліетиленових труб для опалення для Першотравневого ЗЗСО І-ІІІ ст.</t>
  </si>
  <si>
    <t>на придбання електрорушників, фарби, енергозберігаючих світильників, поліетиленових труб для опалення для структурного підрозділу дошкільної освіти Першотравневого ЗЗСО І-ІІІ ст.</t>
  </si>
  <si>
    <t>на придбання меблів для шкільної їдальні Коростенської міської гімназії</t>
  </si>
  <si>
    <t>на придбання технологічного обладнання для їдальні Коростенської ЗОШ І-ІІІ ст. №13</t>
  </si>
  <si>
    <t>на придбання технологічного обладнання для  їдальні Коростенської ЗОШ І-ІІІ ст. №13</t>
  </si>
  <si>
    <t xml:space="preserve">на зміцнення навчально-матеріальної бази Сарновицького ліцею </t>
  </si>
  <si>
    <t xml:space="preserve">на придбання меблів у кабінет 1 класу Грозинського ліцею </t>
  </si>
  <si>
    <t>на придбання столів та стільців для їдальні, обладнання для харчоблоку, вентиляційного устаткування, плитки для підлоги роздаткової, холодильника та дверей для Коростенської міської гімназії</t>
  </si>
  <si>
    <t>на капітальний ремонт покриття спортивних майданчиків на території стадіону "Спартак" за адресою: вул. Шолом Алейхема, 38, м. Коростень, Житомирської області</t>
  </si>
  <si>
    <t xml:space="preserve">на придбання вуличних тренажерів в смт Гранітне </t>
  </si>
  <si>
    <t>на придбання електрокардіографа в АЗПСМ с. Українка</t>
  </si>
  <si>
    <t>на придбання ноутбука, принтера в АЗПСМ смт Гранітне</t>
  </si>
  <si>
    <t>на придбання телевізора для групи компенсуючого типу для дітей із ЗПР Центра розвитку дитини "Сонечко" м. Малин</t>
  </si>
  <si>
    <t>на придбання кольорового лазерного БФП (принтера) для 1класу НУШ Гранітнянської ЗОШ І-ІІІ ст.</t>
  </si>
  <si>
    <t>на придбання телевізора для старшої групи "Бджілка" ДНЗ №4</t>
  </si>
  <si>
    <t>на придбання спортивного обладнання для фізкультурного майданчика для ЗДО №7</t>
  </si>
  <si>
    <t>на придбання інфузомату однолінійного в терапевтичне відділення для КНП "Малинська міська лікарня"</t>
  </si>
  <si>
    <t>на придбання предметів, матеріалів та обладнання для дошкільних навчальних закладів Малинської міської ради</t>
  </si>
  <si>
    <t xml:space="preserve">на придбання мікроскопа в клінікодіагностичну лабораторію для КНП Малинська міська лікарня </t>
  </si>
  <si>
    <t>на реконструкцію існуючого рентгенодіагностичного кабінету з встановленням цифрової системи мамографічної  в КНП "Житомирська багатопрофільна опорна лікарня" Новогуйвинської селищної ради по шосе Сквирське, 3 в с. Станишівка Житомирського району</t>
  </si>
  <si>
    <t xml:space="preserve">на проведення поточного ремонту вул. Зарічна в с. Троянів </t>
  </si>
  <si>
    <t xml:space="preserve">на проведення поточного ремонту вул. Довгалівка в с. Троянів </t>
  </si>
  <si>
    <t xml:space="preserve">на проведення поточного ремонту вул. Володимира Липинського в с. Гай </t>
  </si>
  <si>
    <t xml:space="preserve">на проведення поточного ремонту вул. Зої Гайдай в с. Гай </t>
  </si>
  <si>
    <t xml:space="preserve">на придбання холодильника, жарової шафи, акустичної системи, 2 металопластикових вікон для Пряжівської ЗОШ І-ІІ ст. </t>
  </si>
  <si>
    <t xml:space="preserve">на проведення поточного ремонту вуличного освітлення в с. Пряжів вул. Польова </t>
  </si>
  <si>
    <t>на придбання сечового аналізатора для КНП "ЦМПСД" Новогуйвинської селищної ради</t>
  </si>
  <si>
    <t>на поточний ремонт даху будинку за адресою смт Озерне вул. Авіаційна, буд. 12 для Новогуйвинського ВЖРЕКП</t>
  </si>
  <si>
    <t>на заміну вікон у Новогуйвинському ЗДО "Дзвіночок"</t>
  </si>
  <si>
    <t xml:space="preserve">на придбання мікшерного пульта для Врублівської філії районного БК Романівської селищної ради </t>
  </si>
  <si>
    <t>на придбання обладнання та матеріалів на облаштування вуличного освітлення в смт Романів</t>
  </si>
  <si>
    <t>на будівництво водогінної мережі по вул. Б. Хмельницького, пров. Б. Хмельницького, вул. Жовтнева в смт Романів</t>
  </si>
  <si>
    <t>на придбання оргтехніки для дошкільних навчальних закладів Ружинської селищної ради</t>
  </si>
  <si>
    <t>на придбання та встановлення дитячих майданчиків у населених пунктах Ружинської селищної ради</t>
  </si>
  <si>
    <t>на придбання дитячого майданчика в смт Ружин</t>
  </si>
  <si>
    <t>на придбання медичного обладнання, принтера (БФП) та ноутбука для КНП "ЦПМСД" Черняхівської селищної ради</t>
  </si>
  <si>
    <t>на придбання багатофункціонального пристрою для КУ "Територіальний центр соціального обслуговування (надання соціальних послуг)" Черняхівської селищної ради</t>
  </si>
  <si>
    <t>на капітальний ремонт котельні із заміною котельного устаткування КНП "Черняхівське територіальне медичне об"єднання" за адресою смт. Черняхів, вул. Івана Франка, 42-3</t>
  </si>
  <si>
    <t>на придбання миючого пилососа, кольорового принтера, меблів для Черняхівського ЗДО №4</t>
  </si>
  <si>
    <t>на придбання дитячих каруселей, лавок та урн для сміття на дитячі майданчики для Видиборського старостинського округу Черняхівської селищної ради</t>
  </si>
  <si>
    <t>на встановлення бетонної огорожі на кладовищі для Очеретянського старостинського округу Черняхівської селищної ради</t>
  </si>
  <si>
    <t>на придбання тротуарної плитки для ремонту сходів та облаштування центрального входу Ярунської ЗОШ І-ІІІ ст.</t>
  </si>
  <si>
    <t xml:space="preserve">на придбання та встановлення дитячого майданчика в с. Станишівка по вул. Цвіточна </t>
  </si>
  <si>
    <t xml:space="preserve">на придбання та встановлення дитячого майданчика в с. Буймир по вул. Лісова </t>
  </si>
  <si>
    <t xml:space="preserve">на придбання та встановлення дитячого майданчика в с. Миролюбівка </t>
  </si>
  <si>
    <t>на придбання та встановлення дитячого майданчика в с. Іванків по вул. Мельника, 4</t>
  </si>
  <si>
    <t>на придбання та встановлення вуличних тренажерів у Радомишльській ЗОШ І-ІІІ ст. №3</t>
  </si>
  <si>
    <t>на придбання ноутбука для Центру позашкільної освіти Радомишльської міської ради</t>
  </si>
  <si>
    <t>на придбання спортивного інвентаря та спортивного обладнання для ЗЗСО Радомишльської міської ради</t>
  </si>
  <si>
    <t>на придбання світильників з датчиком руху в місцях загального користування в під'їздах житлового будинку по вул. Чуднівська, 108-А для ОСББ "Захисник Полісся 108-А" м. Житомир</t>
  </si>
  <si>
    <t>на придбання саджанців, кущів для озеленення прибудинкової території по вул. Чуднівська, 108-А для ОСББ "Захисник Полісся 108-А" м. Житомир</t>
  </si>
  <si>
    <t>на закупівлю матеріалів теплоізоляції для труб теплопостачання в житловому будинку по вул. Чуднівська 108-Б для ОСББ "Чуднівська, 108-Б" м. Житомир</t>
  </si>
  <si>
    <t>на придбання матеріалів для поточного ремонту покрівлі в житловому будинку за адресою м. Житомир, проїзд Івана Богуна, 6 для ОСББ "Богуна 6"</t>
  </si>
  <si>
    <t>на придбання матеріалів для поточного ремонту покрівлі в житловому будинку за адресою м. Житомир, вул. Чуднівська, 129В для ОСББ "Лазурний 129В"</t>
  </si>
  <si>
    <t>на придбання матеріалів для проведення поточного ремонту внутрішньобудинкових систем холодного водопостачання в житловому будинку по вул. Чуднівська, 108 для ОСББ "Чуднівська, 108" м. Житомир</t>
  </si>
  <si>
    <t xml:space="preserve">на придбання 2-х холодильників в харчоблок ЖДНЗ №15 </t>
  </si>
  <si>
    <t>на поточний ремонт соціально-психологічного кабінету для ЗОШ І-ІІІ ст. №15 м. Житомир</t>
  </si>
  <si>
    <t>на придбання матеріалів для благоустрою прибудинкової території за адресою проїзд Івана Богуна, 8 для ТОВ "ЄСП Корбутівка" м. Житомир</t>
  </si>
  <si>
    <t>на придбання металопластикових дверей в житловий будинок по вул. Чуднівська, 110 для ОСББ "Чуднівська, 110" м. Житомир</t>
  </si>
  <si>
    <t>на придбання та встановлення дверей в під'їздах житлового будинку по вул. Чуднівська, 108-А для ОСББ "Захисник Полісся 108-А" м. Житомир</t>
  </si>
  <si>
    <t xml:space="preserve">на поточний ремонт внутрішньобудинкової мережі електропостачання в житловому будинку за адресою м. Житомир, вул. Старочуднівська, 9 для ТОВ "ЄСП Корбутівка" </t>
  </si>
  <si>
    <t>на благоустрій (поточний ремонт огорожі кладовища) с. Михайлівка</t>
  </si>
  <si>
    <t>на придбання та встановлення дитячого майданчика у дворі будинку 23-А по вул. Сосновського м. Коростень</t>
  </si>
  <si>
    <t>на будівництво водогінної мережі  по вул. Б. Хмельницького, пров. Б. Хмельницького, вул. Жовтнева в смт Романів</t>
  </si>
  <si>
    <t>на придбання меблів для дитячого садочка "Сонечко" смт Романів</t>
  </si>
  <si>
    <t>на придбання принтера та ламінатора для Вільшанської ЗОШ</t>
  </si>
  <si>
    <t>Субвенція з державного бюджету місцевим бюджетам на реалізацію проектів ремонтно-реставраційних та консерваційних робіт пам'яток культурної спадщини, що перебувають у комунальній власності</t>
  </si>
  <si>
    <t>на придбання паркових скульптур для мікрорайону Малікова</t>
  </si>
  <si>
    <t>5.</t>
  </si>
  <si>
    <t>6.</t>
  </si>
  <si>
    <t>7.</t>
  </si>
  <si>
    <t>8.</t>
  </si>
  <si>
    <t>9.</t>
  </si>
  <si>
    <t>На облаштування поліцейського «Front Office» та кімнат для проведення слідчих (розшукових) дій, впровадження проєкту «Custody Records» у Бердичівському районному відділі поліції (проведення поточного ремонту в адміністративній будівлі) ГУНП в Житомирській області</t>
  </si>
  <si>
    <r>
      <t>Н</t>
    </r>
    <r>
      <rPr>
        <sz val="14"/>
        <rFont val="Times New Roman"/>
        <family val="1"/>
        <charset val="204"/>
      </rPr>
      <t xml:space="preserve">а придбання офісного крісла та офісних стільців для 1 державного пожежно-рятувального загону ГУ ДСНС України у Житомирській області </t>
    </r>
  </si>
  <si>
    <t xml:space="preserve">На придбання спальних ліжок та матраців для 16 державної пожежно-рятувальної частини 1 державного пожежно-рятувального загону ГУ ДСНС України у Житомирській області </t>
  </si>
  <si>
    <t xml:space="preserve">На придбання костюмів літніх повсякденних робочих для підрозділів ГУ ДСНС України у Житомирській області </t>
  </si>
  <si>
    <t xml:space="preserve">На поточний ремонт приміщення (заміна вікон) студентського коворкінг-центру Поліського національного університету </t>
  </si>
  <si>
    <r>
      <t>На придбання транспортного засобу</t>
    </r>
    <r>
      <rPr>
        <sz val="11"/>
        <rFont val="Calibri"/>
        <family val="2"/>
        <charset val="204"/>
      </rPr>
      <t xml:space="preserve"> </t>
    </r>
    <r>
      <rPr>
        <sz val="14"/>
        <rFont val="Times New Roman"/>
        <family val="1"/>
        <charset val="204"/>
      </rPr>
      <t>для</t>
    </r>
    <r>
      <rPr>
        <sz val="11"/>
        <rFont val="Calibri"/>
        <family val="2"/>
        <charset val="204"/>
      </rPr>
      <t xml:space="preserve"> </t>
    </r>
    <r>
      <rPr>
        <sz val="14"/>
        <rFont val="Times New Roman"/>
        <family val="1"/>
        <charset val="204"/>
      </rPr>
      <t xml:space="preserve">Державної екологічної інспекції Поліського округу </t>
    </r>
  </si>
  <si>
    <t>На виготовлення проектно-кошторисної документації на капітальний ремонт (реконструкція) гараж-майстерні та речового складу Житомирського НЦПП для ДУ "Житомирський навчальний центр підготовки поліцейських"</t>
  </si>
  <si>
    <t>На придбання обладнання для лабораторії кіберфізичних систем для Державного університету  «Житомирська політехніка»</t>
  </si>
  <si>
    <t>Поточний ремонт із заміною існюючих заповнень віконних прорізів у Васьковицькому ліцеї Коростенської міської ради</t>
  </si>
  <si>
    <t>Капітальний ремонт елементів благоустрою території Черняхівської гімназіції по вул. Слобідська, 14 в смт. Черняхів Житомирської області ( виготовлення ПКД)</t>
  </si>
  <si>
    <t>Реконструкція стадіону "Юність" в м.Овруч Житомирської області", 11101 м.Овруч Житомирської області</t>
  </si>
  <si>
    <t>Будівництво критого спортивного манежу з влаштуванням відкритого багатофункціонального спортивного майданчику КЗ "Бердичівський ліцей-інтернат спортивного профілю" Житомирської обласної ради за адресою: Житомирська область, м.Бердичів, вул.Героїв України, 79" - розробка ПКД</t>
  </si>
  <si>
    <t>Реконструкція майнового комплексу (гуртожитку, харчоблоку, навчального корпусу) та благоустрою території КЗ "Бердичівський ліцей-інтернат спортивного профілю" Житомирської обласної ради за адресою: Житомирська область, м.Бердичів, вул.Героїв України, 79" - розробка ПКД</t>
  </si>
  <si>
    <t>Реконструкція приймального відділення обласної  клінічної  лікарні ім. О.Ф. Гербачевського по вул. Червоного  Хреста в м. Житомирі</t>
  </si>
  <si>
    <t xml:space="preserve">Реконструкція майнового комплексу КНП "Житомирська обласна дитяча клінічна лікарня" Житомирської обласної ради за адресою: Житомирська область, Житомирський район, с.Станишівка, Шосе Сквирське, 6 (розроблення проектно-кошторисної документації) </t>
  </si>
  <si>
    <t>Реконструкція майнового комплексу КНП "Обласна клінічна лікарня ім.О.Ф.Гербачевського" Житомирської обласної ради за адресою:Житомирська область, м.Житомир, вул.Червоного Хреста, 3 (розроблення проектно-кошторисної документації )</t>
  </si>
  <si>
    <t>Реконструкція футбольного поля та благоустрій території центрального стадіону по вул. Фещенка-Чопівського, 18 м.Житомир (Корегування)</t>
  </si>
  <si>
    <t>Реконструкція  стадіону "Юність" в м.Овруч Житомирської області</t>
  </si>
  <si>
    <t xml:space="preserve">Реконструкція чаші плавального басейну КЗПО "ЖДЮСШ "Авангард" Житомирської обласної ради за адресою: Старий Бульвар, 9 в м.Житомирі" </t>
  </si>
  <si>
    <t>Реконструкція частини території КП "Парк" Житомирської міської ради під урбан-парк за адресою: м.Житомир, Чуднівське шосе, 3</t>
  </si>
  <si>
    <t>71</t>
  </si>
  <si>
    <t>Рішення обласної ради від 04.11.2021 № 242</t>
  </si>
  <si>
    <t>Виготовлення пректно-кошторисної документації капітального ремонту покрівлі будівлі спортивного залу Березівської спеціальної школи Житомирської обласної ради, 10002, Житомирський район, с.Березівка, вулиця Бушуєва,6</t>
  </si>
  <si>
    <t>Співфінансування на придбання ноутбуків для педагогічних працівників комунальних закладів загальної середньої освіти Малинської міської територіальної громади</t>
  </si>
  <si>
    <t>Ремонтно-реставраційні роботи меморіального будинку - музею академіка С.П.Корольова за адресою: вул. Дмитрівська, 5, м.Житомир</t>
  </si>
  <si>
    <t>Реставраційно-ремонтні роботи по будівлі Житомирського академічного українського музично-драматичного театру імені І.Кочерги за адресою: пл. Соборна, 6, м.Житомир</t>
  </si>
  <si>
    <t>Ремонтно-реставраційні роботи по будівлі Житомирського академічного обласного театру ляльок за адресою: вул. Михайлівська, 7, у м. Житомирі</t>
  </si>
  <si>
    <t>на придбання мультимедійного проектора для 10-А класу гімназії ім. В.П. Фількова Лугинської селищної ради</t>
  </si>
  <si>
    <t>Капітальний ремонт приміщення закладу дошкільної освіти "Дзвіночок" Швайківської сільської ради по вул. Шевченка, 55 в с. Мирославка Бердичівського району Житомирської області</t>
  </si>
  <si>
    <t>Проведення капітальних ремонтів діючих сміттєвих майданчиків з облаштуванням ємностями по роздільному збору сировини ТПВ (ОСББ "Містечко морське", ОСББ "Наш дім", ОСББ МЖК "Комфорт", ОСББ "Зоря")</t>
  </si>
  <si>
    <t>на придбання двох цифрових піаніно для школи мистецтв м.Новограда-Волинського</t>
  </si>
  <si>
    <t>Придбання металопластикових вікон для Андрушівського міського центру розвитку дитини "Дюймовочка"</t>
  </si>
  <si>
    <t>Будівництво спортивного майданчика з м'яким покриттям на території Навчально-виховного комплексу "Школа-гімназія-ліцей" №10 м. Бердичева Житомирської області</t>
  </si>
  <si>
    <t xml:space="preserve">Придбання холодильника для Камінської ЗОШ І-ІІІ ступенів </t>
  </si>
  <si>
    <t xml:space="preserve">Придбання меблів (37200), тенісних столів (25000), електричної плити (28000), морозильної камери (14500), сушки для посуду (8695) для Головинського ліцею </t>
  </si>
  <si>
    <t>Придбання вікон для спортивного залу Бежівської гімназії</t>
  </si>
  <si>
    <t>Капітальний ремонт котельні із заміною котельного устаткування КНП "Черняхівське територіальне медичне об"єднання" за адресою смт Черняхів, вул. Івана Франка, 42-3</t>
  </si>
  <si>
    <t>Капітальний ремонт приміщень роздягалень та санітарних  вузлів Черняхівської гімназії Черняхівської селищної ради по вул. Слобідська, 14 в смт Черняхові Житомирського району  Житомирської області</t>
  </si>
  <si>
    <t>пільгове медичне обслуговування осіб, які постраждали внаслідок Чорнобильської катастрофи</t>
  </si>
  <si>
    <t>Рентна плата за користування надрами для видобування інших корисних копалин загальнодержавного значення</t>
  </si>
  <si>
    <t>Рентна плата за користування надрами загальнодержавного значення</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</si>
  <si>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тютюнових виробів та рідин, що використовуються в електронних сигаретах</t>
  </si>
  <si>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</si>
  <si>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Плата за ліцензії на право оптової торгівлі алкогольними напоями, тютюновими виробами та рідинами, що використовуються в електронних сигаретах</t>
  </si>
  <si>
    <t>Податок на прибуток підприємств, який сплачують інші платники</t>
  </si>
  <si>
    <t>Плата за ліцензії на право роздрібної торгівлі алкогольними напоями, тютюновими виробами та рідинами, що використовуються в електронних сигаретах</t>
  </si>
  <si>
    <t>На придбання офісної техніки, засобів радіозв"язку, відеотехніки, інших технічних засобів для проведення негласних слідчих (розшукових) дій, проведення ремонту автотранспорту та службових приміщень для Державної установи «Центр обслуговування підрозділів Національної поліції України»</t>
  </si>
  <si>
    <t>Співфінансування придбання ноутбуків для педагогічних працівників комунальних закладів загальної середньої освіти та їх філій для організації дистанційного навчання</t>
  </si>
  <si>
    <t>Програма фінансової підтримки комунальних підприємств та неприбуткових бюджетних установ на 2021 рік</t>
  </si>
  <si>
    <t>Рішення обласної ради від 04.11.2021 №243</t>
  </si>
  <si>
    <t>пільгове медичне обслуговування громадян, які постраждали внаслідок Чорнобильської катастрофи</t>
  </si>
  <si>
    <t xml:space="preserve">Розроблення проектно-кошторисної документації по об"єкту: "Реконструкція майнового комплексу Житомирського обласного спортивного ліцею Житомирської обласної ради за адресою: м.Житомир, вул.Коростишівська, 15"   </t>
  </si>
  <si>
    <t xml:space="preserve">Співфінансування  на придбання ноутбуків для закладів загальної середньої освіти Березівської сільської ради </t>
  </si>
  <si>
    <t>на співфінансування придбання 4 ноутбуків для закладів загальної середньої освіти Андрушківської сільської ради</t>
  </si>
  <si>
    <t>Співфінансування на придбання ноутбуків в рамках використання коштів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</si>
  <si>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На співфінансування придбання ноутбуків для Довбиської ЗОШ І-ІІІ ступенів, Кам'янобрідського ліцею імені В'ячеслава Чорновола</t>
  </si>
  <si>
    <t xml:space="preserve">співфінансування на придбання ноутбуків для закладів загальної середньої освіти </t>
  </si>
  <si>
    <t xml:space="preserve">на співфінансування придбання ноутбуків за рахунок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t>
  </si>
  <si>
    <t>На співфінансування придбання ноутбуків</t>
  </si>
  <si>
    <t xml:space="preserve">Співфінансування 30 % на придбання ноутбуків в рамках використання коштів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(в частині придбання 35 ноутбуків) </t>
  </si>
  <si>
    <t xml:space="preserve">На співфінансування для придбання ноутбуків для територіальних громад за рахунок державної субвенції </t>
  </si>
  <si>
    <t>Співфінансування на централізовану закупівлю ноутбуків в кількості 10 штук в Іванопільський ліцей для забезпечення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</si>
  <si>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Співфінансування на придбання ноутбуків</t>
  </si>
  <si>
    <t xml:space="preserve">співфінансування на придбання 17 ноутбуків для "Глинівецького ліцею" Червоненської селищної ради Житомирської області </t>
  </si>
  <si>
    <t>Виготовлення проектно-кошторисної документації по об"єкту: "Капітальний ремонт Парку ім. Т.Г.Шевченка в смт. Романів"</t>
  </si>
  <si>
    <t xml:space="preserve">на співфінансування придбання ноутбуків </t>
  </si>
  <si>
    <t>співфінансування на придбання ноутбуків для закладів загальної середньої освіти Андрушівської міської територіальної громади</t>
  </si>
  <si>
    <t xml:space="preserve">Для співфінансування  30 % на ноутбуки з метою якісної організації освітнього процесу у закладах освіти громади в умовах дистанційного навчання для закладів загальної середньої освіти громади </t>
  </si>
  <si>
    <t>Співфінансування придбання ноутбуків, що реалізуються за рахунок субвенції з державного бюджету місцевим бюджетам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</si>
  <si>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 xml:space="preserve">Співфінансування на придбання ноутбуків у 2021 році для закладів освіти </t>
  </si>
  <si>
    <t>На виплату грошової компенсації за належні для отримання жилі приміщення для внутрішньо переміщеної особи Мельничука В.Б., який захищав незалежність, суверенітет та територіальну цілісність України, безпосередньо брав участь в антитерористичній операції та є учасником бойових дій</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</si>
</sst>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82" formatCode="_-* #,##0.00_р_._-;\-* #,##0.00_р_._-;_-* &quot;-&quot;??_р_._-;_-@_-"/>
    <numFmt numFmtId="183" formatCode="0.0"/>
    <numFmt numFmtId="184" formatCode="0.000"/>
    <numFmt numFmtId="186" formatCode="#,##0.0"/>
    <numFmt numFmtId="187" formatCode="#,##0.000"/>
    <numFmt numFmtId="190" formatCode="#,##0.00000"/>
    <numFmt numFmtId="191" formatCode="#,##0.000000"/>
  </numFmts>
  <fonts count="155" x14ac:knownFonts="1">
    <font>
      <sz val="10"/>
      <name val="Arial Cyr"/>
      <charset val="204"/>
    </font>
    <font>
      <sz val="10"/>
      <name val="Arial Cyr"/>
      <charset val="204"/>
    </font>
    <font>
      <b/>
      <sz val="10"/>
      <name val="Arial Cyr"/>
      <family val="2"/>
      <charset val="204"/>
    </font>
    <font>
      <sz val="10"/>
      <name val="Arial Cyr"/>
      <family val="2"/>
      <charset val="204"/>
    </font>
    <font>
      <sz val="13"/>
      <name val="Arial Cyr"/>
      <family val="2"/>
      <charset val="204"/>
    </font>
    <font>
      <sz val="13"/>
      <name val="Times New Roman"/>
      <family val="1"/>
      <charset val="204"/>
    </font>
    <font>
      <sz val="16"/>
      <name val="Times New Roman"/>
      <family val="1"/>
      <charset val="204"/>
    </font>
    <font>
      <b/>
      <sz val="18"/>
      <name val="Times New Roman"/>
      <family val="1"/>
      <charset val="204"/>
    </font>
    <font>
      <sz val="14"/>
      <name val="Times New Roman"/>
      <family val="1"/>
      <charset val="204"/>
    </font>
    <font>
      <sz val="10"/>
      <name val="Times New Roman"/>
      <family val="1"/>
      <charset val="204"/>
    </font>
    <font>
      <b/>
      <sz val="16"/>
      <name val="Times New Roman"/>
      <family val="1"/>
      <charset val="204"/>
    </font>
    <font>
      <sz val="10"/>
      <name val="Arial"/>
      <family val="2"/>
      <charset val="204"/>
    </font>
    <font>
      <b/>
      <sz val="10"/>
      <name val="Arial Cyr"/>
      <charset val="204"/>
    </font>
    <font>
      <b/>
      <sz val="14"/>
      <name val="Times New Roman"/>
      <family val="1"/>
      <charset val="204"/>
    </font>
    <font>
      <b/>
      <sz val="10"/>
      <name val="Arial"/>
      <family val="2"/>
      <charset val="204"/>
    </font>
    <font>
      <sz val="12"/>
      <name val="Times New Roman"/>
      <family val="1"/>
      <charset val="204"/>
    </font>
    <font>
      <sz val="18"/>
      <name val="Arial Cyr"/>
      <charset val="204"/>
    </font>
    <font>
      <sz val="18"/>
      <name val="Arial Cyr"/>
      <family val="2"/>
      <charset val="204"/>
    </font>
    <font>
      <sz val="12"/>
      <name val="Arial Cyr"/>
      <family val="2"/>
      <charset val="204"/>
    </font>
    <font>
      <sz val="12"/>
      <name val="Arial Cyr"/>
      <charset val="204"/>
    </font>
    <font>
      <sz val="14"/>
      <name val="Arial Cyr"/>
      <charset val="204"/>
    </font>
    <font>
      <sz val="10"/>
      <name val="Arial Cyr"/>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4"/>
      <name val="Arial"/>
      <family val="2"/>
      <charset val="204"/>
    </font>
    <font>
      <b/>
      <sz val="14"/>
      <color indexed="8"/>
      <name val="Times New Roman"/>
      <family val="1"/>
      <charset val="204"/>
    </font>
    <font>
      <b/>
      <sz val="14"/>
      <color indexed="8"/>
      <name val="Times New Roman"/>
      <family val="1"/>
    </font>
    <font>
      <b/>
      <i/>
      <sz val="14"/>
      <color indexed="8"/>
      <name val="Times New Roman"/>
      <family val="1"/>
    </font>
    <font>
      <b/>
      <i/>
      <sz val="14"/>
      <name val="Arial Cyr"/>
      <charset val="204"/>
    </font>
    <font>
      <sz val="14"/>
      <color indexed="8"/>
      <name val="Times New Roman"/>
      <family val="1"/>
    </font>
    <font>
      <sz val="13"/>
      <color indexed="8"/>
      <name val="Times New Roman"/>
      <family val="1"/>
    </font>
    <font>
      <sz val="11"/>
      <name val="Times New Roman"/>
      <family val="1"/>
      <charset val="204"/>
    </font>
    <font>
      <b/>
      <sz val="16"/>
      <name val="Arial Cyr"/>
      <family val="2"/>
      <charset val="204"/>
    </font>
    <font>
      <b/>
      <sz val="11"/>
      <name val="Times New Roman"/>
      <family val="1"/>
      <charset val="204"/>
    </font>
    <font>
      <b/>
      <sz val="10"/>
      <name val="Times New Roman"/>
      <family val="1"/>
      <charset val="204"/>
    </font>
    <font>
      <sz val="10"/>
      <color indexed="10"/>
      <name val="Arial Cyr"/>
      <charset val="204"/>
    </font>
    <font>
      <sz val="14"/>
      <color indexed="10"/>
      <name val="Arial Cyr"/>
      <charset val="204"/>
    </font>
    <font>
      <b/>
      <sz val="10"/>
      <color indexed="10"/>
      <name val="Arial Cyr"/>
      <charset val="204"/>
    </font>
    <font>
      <sz val="12"/>
      <color indexed="10"/>
      <name val="Times New Roman"/>
      <family val="1"/>
      <charset val="204"/>
    </font>
    <font>
      <b/>
      <sz val="14"/>
      <color indexed="10"/>
      <name val="Times New Roman"/>
      <family val="1"/>
      <charset val="204"/>
    </font>
    <font>
      <sz val="14"/>
      <color indexed="10"/>
      <name val="Times New Roman"/>
      <family val="1"/>
      <charset val="204"/>
    </font>
    <font>
      <b/>
      <sz val="12"/>
      <name val="Arial Cyr"/>
      <family val="2"/>
      <charset val="204"/>
    </font>
    <font>
      <sz val="14"/>
      <name val="Arial Cyr"/>
      <family val="2"/>
      <charset val="204"/>
    </font>
    <font>
      <sz val="10"/>
      <name val="Arial"/>
      <family val="2"/>
      <charset val="204"/>
    </font>
    <font>
      <sz val="11"/>
      <color indexed="10"/>
      <name val="Times New Roman"/>
      <family val="1"/>
      <charset val="204"/>
    </font>
    <font>
      <sz val="10"/>
      <name val="Helv"/>
      <charset val="204"/>
    </font>
    <font>
      <i/>
      <sz val="10"/>
      <name val="Arial"/>
      <family val="2"/>
      <charset val="204"/>
    </font>
    <font>
      <i/>
      <sz val="10"/>
      <name val="Arial Cyr"/>
      <charset val="204"/>
    </font>
    <font>
      <b/>
      <i/>
      <sz val="10"/>
      <name val="Arial"/>
      <family val="2"/>
      <charset val="204"/>
    </font>
    <font>
      <b/>
      <i/>
      <sz val="10"/>
      <name val="Arial Cyr"/>
      <charset val="204"/>
    </font>
    <font>
      <b/>
      <sz val="12"/>
      <color indexed="8"/>
      <name val="Times New Roman"/>
      <family val="1"/>
      <charset val="204"/>
    </font>
    <font>
      <b/>
      <i/>
      <sz val="12"/>
      <color indexed="8"/>
      <name val="Times New Roman"/>
      <family val="1"/>
      <charset val="204"/>
    </font>
    <font>
      <sz val="10"/>
      <color indexed="8"/>
      <name val="Arial"/>
      <family val="2"/>
      <charset val="204"/>
    </font>
    <font>
      <b/>
      <sz val="10"/>
      <color indexed="10"/>
      <name val="Times New Roman"/>
      <family val="1"/>
      <charset val="204"/>
    </font>
    <font>
      <sz val="18"/>
      <name val="Times New Roman"/>
      <family val="1"/>
      <charset val="204"/>
    </font>
    <font>
      <sz val="14"/>
      <color indexed="8"/>
      <name val="Times New Roman"/>
      <family val="1"/>
      <charset val="204"/>
    </font>
    <font>
      <b/>
      <i/>
      <sz val="10"/>
      <name val="Arial Cyr"/>
      <family val="2"/>
      <charset val="204"/>
    </font>
    <font>
      <b/>
      <sz val="10"/>
      <color indexed="10"/>
      <name val="Arial Cyr"/>
      <charset val="204"/>
    </font>
    <font>
      <i/>
      <sz val="18"/>
      <name val="Arial Cyr"/>
      <charset val="204"/>
    </font>
    <font>
      <i/>
      <sz val="14"/>
      <name val="Times New Roman"/>
      <family val="1"/>
      <charset val="204"/>
    </font>
    <font>
      <sz val="12"/>
      <color indexed="10"/>
      <name val="Arial Cyr"/>
      <charset val="204"/>
    </font>
    <font>
      <b/>
      <i/>
      <sz val="12"/>
      <color indexed="12"/>
      <name val="Times New Roman"/>
      <family val="1"/>
      <charset val="204"/>
    </font>
    <font>
      <i/>
      <vertAlign val="superscript"/>
      <sz val="12"/>
      <name val="Times New Roman"/>
      <family val="1"/>
      <charset val="204"/>
    </font>
    <font>
      <i/>
      <sz val="10"/>
      <name val="Arial Cyr"/>
      <family val="2"/>
      <charset val="204"/>
    </font>
    <font>
      <i/>
      <sz val="8"/>
      <name val="Times New Roman"/>
      <family val="1"/>
      <charset val="204"/>
    </font>
    <font>
      <i/>
      <vertAlign val="superscript"/>
      <sz val="8"/>
      <name val="Times New Roman"/>
      <family val="1"/>
      <charset val="204"/>
    </font>
    <font>
      <vertAlign val="superscript"/>
      <sz val="12"/>
      <name val="Times New Roman"/>
      <family val="1"/>
      <charset val="204"/>
    </font>
    <font>
      <i/>
      <sz val="14"/>
      <color indexed="36"/>
      <name val="Times New Roman"/>
      <family val="1"/>
      <charset val="204"/>
    </font>
    <font>
      <i/>
      <sz val="11"/>
      <name val="Times New Roman"/>
      <family val="1"/>
      <charset val="204"/>
    </font>
    <font>
      <i/>
      <vertAlign val="superscript"/>
      <sz val="14"/>
      <color indexed="8"/>
      <name val="Times New Roman"/>
      <family val="1"/>
      <charset val="204"/>
    </font>
    <font>
      <i/>
      <sz val="14"/>
      <color indexed="8"/>
      <name val="Times New Roman"/>
      <family val="1"/>
      <charset val="204"/>
    </font>
    <font>
      <vertAlign val="superscript"/>
      <sz val="14"/>
      <name val="Times New Roman"/>
      <family val="1"/>
      <charset val="204"/>
    </font>
    <font>
      <sz val="12"/>
      <color indexed="12"/>
      <name val="Times New Roman"/>
      <family val="1"/>
      <charset val="204"/>
    </font>
    <font>
      <b/>
      <u/>
      <sz val="14"/>
      <name val="Times New Roman"/>
      <family val="1"/>
      <charset val="204"/>
    </font>
    <font>
      <u/>
      <sz val="14"/>
      <name val="Times New Roman"/>
      <family val="1"/>
      <charset val="204"/>
    </font>
    <font>
      <sz val="11"/>
      <color indexed="8"/>
      <name val="Times New Roman"/>
      <family val="1"/>
      <charset val="204"/>
    </font>
    <font>
      <i/>
      <sz val="12"/>
      <color indexed="8"/>
      <name val="Times New Roman"/>
      <family val="1"/>
      <charset val="204"/>
    </font>
    <font>
      <b/>
      <sz val="14"/>
      <name val="Arial Cyr"/>
      <family val="2"/>
      <charset val="204"/>
    </font>
    <font>
      <b/>
      <sz val="14"/>
      <name val="Arial Cyr"/>
      <charset val="204"/>
    </font>
    <font>
      <sz val="8"/>
      <name val="Times New Roman"/>
      <family val="1"/>
      <charset val="204"/>
    </font>
    <font>
      <vertAlign val="superscript"/>
      <sz val="10"/>
      <name val="Times New Roman"/>
      <family val="1"/>
      <charset val="204"/>
    </font>
    <font>
      <b/>
      <sz val="10"/>
      <color indexed="8"/>
      <name val="Arial Cyr"/>
      <family val="2"/>
      <charset val="204"/>
    </font>
    <font>
      <b/>
      <sz val="10"/>
      <color indexed="53"/>
      <name val="Arial Cyr"/>
      <charset val="204"/>
    </font>
    <font>
      <vertAlign val="superscript"/>
      <sz val="8"/>
      <name val="Times New Roman"/>
      <family val="1"/>
      <charset val="204"/>
    </font>
    <font>
      <vertAlign val="superscript"/>
      <sz val="14"/>
      <color indexed="8"/>
      <name val="Times New Roman"/>
      <family val="1"/>
      <charset val="204"/>
    </font>
    <font>
      <i/>
      <sz val="10"/>
      <name val="Times New Roman Cyr"/>
      <charset val="204"/>
    </font>
    <font>
      <sz val="11"/>
      <name val="Times New Roman CYR"/>
      <charset val="204"/>
    </font>
    <font>
      <b/>
      <sz val="20"/>
      <name val="Times New Roman"/>
      <family val="1"/>
      <charset val="204"/>
    </font>
    <font>
      <sz val="20"/>
      <color indexed="10"/>
      <name val="Arial Cyr"/>
      <charset val="204"/>
    </font>
    <font>
      <b/>
      <i/>
      <sz val="18"/>
      <name val="Arial"/>
      <family val="2"/>
      <charset val="204"/>
    </font>
    <font>
      <i/>
      <sz val="10"/>
      <name val="Times New Roman"/>
      <family val="1"/>
      <charset val="204"/>
    </font>
    <font>
      <b/>
      <i/>
      <sz val="10"/>
      <name val="Times New Roman"/>
      <family val="1"/>
      <charset val="204"/>
    </font>
    <font>
      <b/>
      <sz val="10"/>
      <color indexed="12"/>
      <name val="Times New Roman"/>
      <family val="1"/>
      <charset val="204"/>
    </font>
    <font>
      <b/>
      <sz val="12"/>
      <color indexed="12"/>
      <name val="Times New Roman"/>
      <family val="1"/>
      <charset val="204"/>
    </font>
    <font>
      <sz val="11"/>
      <name val="Calibri"/>
      <family val="2"/>
      <charset val="204"/>
    </font>
    <font>
      <sz val="9.5"/>
      <name val="Times New Roman"/>
      <family val="1"/>
      <charset val="204"/>
    </font>
    <font>
      <sz val="14"/>
      <color rgb="FFFF0000"/>
      <name val="Times New Roman"/>
      <family val="1"/>
      <charset val="204"/>
    </font>
    <font>
      <b/>
      <sz val="14"/>
      <color theme="1"/>
      <name val="Times New Roman"/>
      <family val="1"/>
      <charset val="204"/>
    </font>
    <font>
      <b/>
      <sz val="14"/>
      <color rgb="FFFF0000"/>
      <name val="Times New Roman"/>
      <family val="1"/>
      <charset val="204"/>
    </font>
    <font>
      <sz val="14"/>
      <color rgb="FF00B0F0"/>
      <name val="Times New Roman"/>
      <family val="1"/>
      <charset val="204"/>
    </font>
    <font>
      <sz val="13"/>
      <color theme="1"/>
      <name val="Arial Cyr"/>
      <family val="2"/>
      <charset val="204"/>
    </font>
    <font>
      <sz val="10"/>
      <color theme="1"/>
      <name val="Arial Cyr"/>
      <charset val="204"/>
    </font>
    <font>
      <sz val="13"/>
      <color theme="1"/>
      <name val="Times New Roman"/>
      <family val="1"/>
      <charset val="204"/>
    </font>
    <font>
      <b/>
      <sz val="12"/>
      <color theme="1"/>
      <name val="Times New Roman"/>
      <family val="1"/>
      <charset val="204"/>
    </font>
    <font>
      <b/>
      <sz val="12"/>
      <color theme="1"/>
      <name val="Arial Cyr"/>
      <family val="2"/>
      <charset val="204"/>
    </font>
    <font>
      <sz val="12"/>
      <color theme="1"/>
      <name val="Times New Roman"/>
      <family val="1"/>
      <charset val="204"/>
    </font>
    <font>
      <sz val="12"/>
      <color theme="1"/>
      <name val="Arial Cyr"/>
      <charset val="204"/>
    </font>
    <font>
      <i/>
      <sz val="12"/>
      <color theme="1"/>
      <name val="Times New Roman"/>
      <family val="1"/>
      <charset val="204"/>
    </font>
    <font>
      <b/>
      <sz val="12"/>
      <color theme="1"/>
      <name val="Arial Cyr"/>
      <charset val="204"/>
    </font>
    <font>
      <b/>
      <sz val="10"/>
      <color theme="1"/>
      <name val="Arial Cyr"/>
      <family val="2"/>
      <charset val="204"/>
    </font>
    <font>
      <sz val="11"/>
      <color theme="1"/>
      <name val="Times New Roman"/>
      <family val="1"/>
      <charset val="204"/>
    </font>
    <font>
      <i/>
      <sz val="10"/>
      <color theme="1"/>
      <name val="Arial Cyr"/>
      <charset val="204"/>
    </font>
    <font>
      <b/>
      <sz val="10"/>
      <color theme="1"/>
      <name val="Arial Cyr"/>
      <charset val="204"/>
    </font>
    <font>
      <sz val="10"/>
      <color theme="1"/>
      <name val="Arial Cyr"/>
      <family val="2"/>
      <charset val="204"/>
    </font>
    <font>
      <sz val="14"/>
      <color theme="1"/>
      <name val="Arial"/>
      <family val="2"/>
      <charset val="204"/>
    </font>
    <font>
      <sz val="14"/>
      <color theme="1"/>
      <name val="Times New Roman"/>
      <family val="1"/>
      <charset val="204"/>
    </font>
    <font>
      <sz val="16"/>
      <color theme="1"/>
      <name val="Times New Roman"/>
      <family val="1"/>
      <charset val="204"/>
    </font>
    <font>
      <sz val="10"/>
      <color rgb="FFFF0000"/>
      <name val="Arial Cyr"/>
      <charset val="204"/>
    </font>
    <font>
      <b/>
      <sz val="12"/>
      <color rgb="FFFFC000"/>
      <name val="Arial Cyr"/>
      <family val="2"/>
      <charset val="204"/>
    </font>
    <font>
      <b/>
      <sz val="12"/>
      <color rgb="FFFF0000"/>
      <name val="Times New Roman"/>
      <family val="1"/>
      <charset val="204"/>
    </font>
    <font>
      <b/>
      <sz val="18"/>
      <color theme="1"/>
      <name val="Times New Roman"/>
      <family val="1"/>
      <charset val="204"/>
    </font>
    <font>
      <b/>
      <sz val="10"/>
      <color rgb="FFFF0000"/>
      <name val="Arial Cyr"/>
      <family val="2"/>
      <charset val="204"/>
    </font>
    <font>
      <b/>
      <sz val="12"/>
      <color rgb="FFFF0000"/>
      <name val="Arial Cyr"/>
      <family val="2"/>
      <charset val="204"/>
    </font>
    <font>
      <sz val="14"/>
      <color theme="1"/>
      <name val="Arial Cyr"/>
      <charset val="204"/>
    </font>
    <font>
      <sz val="18"/>
      <color theme="1"/>
      <name val="Times New Roman"/>
      <family val="1"/>
      <charset val="204"/>
    </font>
    <font>
      <b/>
      <sz val="12"/>
      <color rgb="FFFFFF00"/>
      <name val="Arial Cyr"/>
      <family val="2"/>
      <charset val="204"/>
    </font>
    <font>
      <b/>
      <sz val="12"/>
      <color theme="9" tint="-0.249977111117893"/>
      <name val="Arial Cyr"/>
      <family val="2"/>
      <charset val="204"/>
    </font>
    <font>
      <sz val="12"/>
      <color theme="1"/>
      <name val="Arial Cyr"/>
      <family val="2"/>
      <charset val="204"/>
    </font>
    <font>
      <sz val="12"/>
      <color rgb="FFFF0000"/>
      <name val="Times New Roman"/>
      <family val="1"/>
      <charset val="204"/>
    </font>
    <font>
      <b/>
      <sz val="11"/>
      <color theme="1"/>
      <name val="Times New Roman"/>
      <family val="1"/>
      <charset val="204"/>
    </font>
    <font>
      <b/>
      <sz val="20"/>
      <color rgb="FFFF0000"/>
      <name val="Times New Roman"/>
      <family val="1"/>
      <charset val="204"/>
    </font>
    <font>
      <b/>
      <sz val="20"/>
      <color rgb="FFFF0000"/>
      <name val="Arial Cyr"/>
      <charset val="204"/>
    </font>
    <font>
      <b/>
      <sz val="14"/>
      <color rgb="FFFF0000"/>
      <name val="Arial Cyr"/>
      <charset val="204"/>
    </font>
    <font>
      <sz val="10"/>
      <color theme="1"/>
      <name val="Arial"/>
      <family val="2"/>
      <charset val="204"/>
    </font>
    <font>
      <b/>
      <u/>
      <sz val="14"/>
      <color theme="1"/>
      <name val="Times New Roman"/>
      <family val="1"/>
      <charset val="204"/>
    </font>
    <font>
      <b/>
      <sz val="16"/>
      <color theme="1"/>
      <name val="Times New Roman"/>
      <family val="1"/>
      <charset val="204"/>
    </font>
    <font>
      <b/>
      <i/>
      <sz val="14"/>
      <color rgb="FFFF0000"/>
      <name val="Times New Roman Cyr"/>
      <charset val="204"/>
    </font>
    <font>
      <b/>
      <sz val="14"/>
      <color rgb="FFFF0000"/>
      <name val="Times New Roman CYR"/>
      <charset val="204"/>
    </font>
    <font>
      <sz val="14"/>
      <color rgb="FF0070C0"/>
      <name val="Times New Roman"/>
      <family val="1"/>
      <charset val="204"/>
    </font>
    <font>
      <sz val="14"/>
      <color rgb="FF7030A0"/>
      <name val="Times New Roman"/>
      <family val="1"/>
      <charset val="204"/>
    </font>
    <font>
      <sz val="14"/>
      <color rgb="FF002060"/>
      <name val="Times New Roman"/>
      <family val="1"/>
      <charset val="204"/>
    </font>
    <font>
      <b/>
      <sz val="10"/>
      <color theme="1"/>
      <name val="Times New Roman"/>
      <family val="1"/>
      <charset val="204"/>
    </font>
    <font>
      <b/>
      <sz val="10"/>
      <color rgb="FFFF0000"/>
      <name val="Times New Roman"/>
      <family val="1"/>
      <charset val="204"/>
    </font>
    <font>
      <sz val="12"/>
      <color rgb="FF7030A0"/>
      <name val="Times New Roman"/>
      <family val="1"/>
      <charset val="204"/>
    </font>
    <font>
      <sz val="10"/>
      <color rgb="FFFF0000"/>
      <name val="Times New Roman"/>
      <family val="1"/>
      <charset val="204"/>
    </font>
    <font>
      <sz val="14"/>
      <color rgb="FFC00000"/>
      <name val="Times New Roman"/>
      <family val="1"/>
      <charset val="204"/>
    </font>
    <font>
      <sz val="12"/>
      <color rgb="FFC00000"/>
      <name val="Times New Roman"/>
      <family val="1"/>
      <charset val="204"/>
    </font>
    <font>
      <b/>
      <sz val="14"/>
      <color rgb="FFC00000"/>
      <name val="Times New Roman"/>
      <family val="1"/>
      <charset val="204"/>
    </font>
    <font>
      <sz val="14"/>
      <color theme="2" tint="-0.499984740745262"/>
      <name val="Times New Roman"/>
      <family val="1"/>
      <charset val="204"/>
    </font>
    <font>
      <sz val="10"/>
      <color theme="1"/>
      <name val="Times New Roman"/>
      <family val="1"/>
      <charset val="204"/>
    </font>
    <font>
      <sz val="14"/>
      <color theme="1"/>
      <name val="Calibri"/>
      <family val="2"/>
      <charset val="204"/>
    </font>
    <font>
      <sz val="14"/>
      <color rgb="FFFF0000"/>
      <name val="Arial Cyr"/>
      <charset val="204"/>
    </font>
    <font>
      <b/>
      <sz val="10"/>
      <color rgb="FFFF0000"/>
      <name val="Arial Cyr"/>
      <charset val="204"/>
    </font>
  </fonts>
  <fills count="1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4">
    <xf numFmtId="0" fontId="0" fillId="0" borderId="0"/>
    <xf numFmtId="0" fontId="11" fillId="0" borderId="0"/>
    <xf numFmtId="0" fontId="1" fillId="0" borderId="0"/>
    <xf numFmtId="0" fontId="11" fillId="0" borderId="0"/>
    <xf numFmtId="0" fontId="11" fillId="0" borderId="0"/>
    <xf numFmtId="0" fontId="47" fillId="0" borderId="0"/>
    <xf numFmtId="0" fontId="47" fillId="0" borderId="0"/>
    <xf numFmtId="0" fontId="45" fillId="0" borderId="0"/>
    <xf numFmtId="0" fontId="45" fillId="0" borderId="0"/>
    <xf numFmtId="0" fontId="11" fillId="0" borderId="0"/>
    <xf numFmtId="0" fontId="47" fillId="0" borderId="0"/>
    <xf numFmtId="0"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cellStyleXfs>
  <cellXfs count="1931">
    <xf numFmtId="0" fontId="0" fillId="0" borderId="0" xfId="0"/>
    <xf numFmtId="0" fontId="2" fillId="0" borderId="0" xfId="0" applyFont="1"/>
    <xf numFmtId="0" fontId="4" fillId="0" borderId="0" xfId="0" applyFont="1"/>
    <xf numFmtId="0" fontId="4" fillId="0" borderId="1"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183" fontId="4" fillId="0" borderId="0" xfId="0" applyNumberFormat="1" applyFont="1" applyBorder="1" applyAlignment="1">
      <alignment horizontal="right"/>
    </xf>
    <xf numFmtId="183" fontId="5" fillId="2" borderId="0" xfId="0" applyNumberFormat="1" applyFont="1" applyFill="1" applyBorder="1" applyAlignment="1">
      <alignment horizontal="right"/>
    </xf>
    <xf numFmtId="0" fontId="5" fillId="0" borderId="0" xfId="0" applyFont="1" applyAlignment="1">
      <alignment horizontal="right"/>
    </xf>
    <xf numFmtId="0" fontId="5" fillId="0" borderId="0" xfId="0" applyFont="1" applyAlignment="1">
      <alignment horizontal="center"/>
    </xf>
    <xf numFmtId="183" fontId="5" fillId="0" borderId="0" xfId="0" applyNumberFormat="1" applyFont="1"/>
    <xf numFmtId="0" fontId="6" fillId="0" borderId="0" xfId="0" applyFont="1" applyAlignment="1">
      <alignment horizontal="left"/>
    </xf>
    <xf numFmtId="0" fontId="8" fillId="0" borderId="0" xfId="0" applyFont="1"/>
    <xf numFmtId="0" fontId="8" fillId="0" borderId="0" xfId="0" applyFont="1" applyAlignment="1">
      <alignment horizontal="left"/>
    </xf>
    <xf numFmtId="0" fontId="11" fillId="0" borderId="0" xfId="0" applyFont="1"/>
    <xf numFmtId="183" fontId="5" fillId="0" borderId="0" xfId="0" applyNumberFormat="1" applyFont="1" applyBorder="1"/>
    <xf numFmtId="0" fontId="12" fillId="0" borderId="0" xfId="0" applyFont="1"/>
    <xf numFmtId="0" fontId="0" fillId="0" borderId="1" xfId="0" applyBorder="1"/>
    <xf numFmtId="0" fontId="5" fillId="0" borderId="0" xfId="0" applyFont="1" applyAlignment="1"/>
    <xf numFmtId="0" fontId="0" fillId="0" borderId="0" xfId="0" applyBorder="1"/>
    <xf numFmtId="0" fontId="4" fillId="0" borderId="2" xfId="0" applyFont="1" applyBorder="1" applyAlignment="1">
      <alignment horizontal="center"/>
    </xf>
    <xf numFmtId="0" fontId="16" fillId="0" borderId="0" xfId="0" applyFont="1"/>
    <xf numFmtId="0" fontId="17" fillId="0" borderId="0" xfId="0" applyFont="1"/>
    <xf numFmtId="0" fontId="0" fillId="0" borderId="0" xfId="0" applyFill="1"/>
    <xf numFmtId="0" fontId="8" fillId="0" borderId="0" xfId="0" applyFont="1" applyAlignment="1"/>
    <xf numFmtId="0" fontId="4" fillId="0" borderId="0" xfId="0" applyFont="1" applyFill="1"/>
    <xf numFmtId="0" fontId="2" fillId="0" borderId="0" xfId="0" applyFont="1" applyFill="1"/>
    <xf numFmtId="0" fontId="12" fillId="0" borderId="0" xfId="0" applyFont="1" applyFill="1"/>
    <xf numFmtId="0" fontId="3" fillId="0" borderId="0" xfId="0" applyFont="1" applyFill="1"/>
    <xf numFmtId="0" fontId="0" fillId="0" borderId="0" xfId="0" applyFill="1" applyAlignment="1">
      <alignment horizontal="right"/>
    </xf>
    <xf numFmtId="0" fontId="21" fillId="0" borderId="0" xfId="0" applyFont="1" applyFill="1"/>
    <xf numFmtId="0" fontId="20" fillId="0" borderId="0" xfId="0" applyFont="1" applyAlignment="1">
      <alignment horizontal="right"/>
    </xf>
    <xf numFmtId="0" fontId="19" fillId="0" borderId="0" xfId="0" applyFont="1" applyAlignment="1">
      <alignment horizontal="right"/>
    </xf>
    <xf numFmtId="0" fontId="15" fillId="0" borderId="1" xfId="0" applyFont="1" applyBorder="1" applyAlignment="1">
      <alignment vertical="top" wrapText="1"/>
    </xf>
    <xf numFmtId="0" fontId="15" fillId="0" borderId="1" xfId="0" applyFont="1" applyBorder="1" applyAlignment="1">
      <alignment horizontal="justify" vertical="top" wrapText="1"/>
    </xf>
    <xf numFmtId="0" fontId="15" fillId="0" borderId="1" xfId="0" applyNumberFormat="1" applyFont="1" applyBorder="1" applyAlignment="1">
      <alignment vertical="top" wrapText="1"/>
    </xf>
    <xf numFmtId="0" fontId="8" fillId="0" borderId="0" xfId="0" applyFont="1" applyBorder="1"/>
    <xf numFmtId="0" fontId="26" fillId="0" borderId="0" xfId="0" applyFont="1"/>
    <xf numFmtId="0" fontId="15" fillId="2" borderId="1" xfId="0" applyFont="1" applyFill="1" applyBorder="1" applyAlignment="1">
      <alignment horizontal="left" vertical="top" wrapText="1" shrinkToFit="1"/>
    </xf>
    <xf numFmtId="0" fontId="15" fillId="0" borderId="1" xfId="0" applyFont="1" applyFill="1" applyBorder="1" applyAlignment="1">
      <alignment horizontal="center" vertical="top"/>
    </xf>
    <xf numFmtId="0" fontId="15" fillId="0" borderId="1" xfId="0" applyFont="1" applyFill="1" applyBorder="1" applyAlignment="1">
      <alignment vertical="top" wrapText="1"/>
    </xf>
    <xf numFmtId="0" fontId="15" fillId="0" borderId="1" xfId="0" applyFont="1" applyFill="1" applyBorder="1" applyAlignment="1">
      <alignment horizontal="left" vertical="top" wrapText="1" shrinkToFit="1"/>
    </xf>
    <xf numFmtId="0" fontId="15" fillId="2" borderId="1" xfId="0" applyFont="1" applyFill="1" applyBorder="1" applyAlignment="1">
      <alignment horizontal="center" vertical="top"/>
    </xf>
    <xf numFmtId="49" fontId="15" fillId="0" borderId="1" xfId="0" applyNumberFormat="1" applyFont="1" applyFill="1" applyBorder="1" applyAlignment="1">
      <alignment horizontal="center" vertical="top"/>
    </xf>
    <xf numFmtId="0" fontId="15" fillId="0" borderId="1" xfId="0" applyFont="1" applyFill="1" applyBorder="1" applyAlignment="1">
      <alignment wrapText="1"/>
    </xf>
    <xf numFmtId="0" fontId="23" fillId="2" borderId="1" xfId="0" applyFont="1" applyFill="1" applyBorder="1" applyAlignment="1">
      <alignment horizontal="center" vertical="top"/>
    </xf>
    <xf numFmtId="0" fontId="23" fillId="2" borderId="1" xfId="0" applyFont="1" applyFill="1" applyBorder="1" applyAlignment="1">
      <alignment horizontal="left" vertical="top" wrapText="1" shrinkToFit="1"/>
    </xf>
    <xf numFmtId="49" fontId="23" fillId="2" borderId="1" xfId="0" applyNumberFormat="1" applyFont="1" applyFill="1" applyBorder="1" applyAlignment="1">
      <alignment horizontal="center" vertical="top"/>
    </xf>
    <xf numFmtId="0" fontId="23" fillId="2" borderId="1" xfId="0" applyFont="1" applyFill="1" applyBorder="1" applyAlignment="1">
      <alignment horizontal="left" vertical="top"/>
    </xf>
    <xf numFmtId="0" fontId="24" fillId="0" borderId="1" xfId="0" applyFont="1" applyFill="1" applyBorder="1" applyAlignment="1">
      <alignment horizontal="left" vertical="top" wrapText="1" shrinkToFit="1"/>
    </xf>
    <xf numFmtId="3" fontId="15" fillId="0" borderId="1" xfId="0" applyNumberFormat="1" applyFont="1" applyFill="1" applyBorder="1" applyAlignment="1">
      <alignment horizontal="right" vertical="top"/>
    </xf>
    <xf numFmtId="3" fontId="24" fillId="0" borderId="1" xfId="0" applyNumberFormat="1" applyFont="1" applyFill="1" applyBorder="1" applyAlignment="1">
      <alignment horizontal="right" vertical="top"/>
    </xf>
    <xf numFmtId="3" fontId="15" fillId="0" borderId="1" xfId="0" applyNumberFormat="1" applyFont="1" applyFill="1" applyBorder="1" applyAlignment="1">
      <alignment horizontal="right" vertical="top" wrapText="1"/>
    </xf>
    <xf numFmtId="4" fontId="15" fillId="0" borderId="1" xfId="0" applyNumberFormat="1" applyFont="1" applyFill="1" applyBorder="1" applyAlignment="1">
      <alignment horizontal="right" vertical="top"/>
    </xf>
    <xf numFmtId="0" fontId="6" fillId="0" borderId="0" xfId="0" applyFont="1" applyBorder="1" applyAlignment="1">
      <alignment horizontal="left"/>
    </xf>
    <xf numFmtId="0" fontId="1" fillId="0" borderId="0" xfId="0" applyFont="1" applyFill="1"/>
    <xf numFmtId="0" fontId="28" fillId="0" borderId="1" xfId="0" applyFont="1" applyFill="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vertical="top" wrapText="1"/>
    </xf>
    <xf numFmtId="0" fontId="31" fillId="0" borderId="1" xfId="0" applyFont="1" applyBorder="1" applyAlignment="1">
      <alignment horizontal="center" vertical="top" wrapText="1"/>
    </xf>
    <xf numFmtId="0" fontId="31" fillId="0" borderId="1" xfId="0" applyFont="1" applyBorder="1" applyAlignment="1">
      <alignment vertical="top" wrapText="1"/>
    </xf>
    <xf numFmtId="0" fontId="27" fillId="0" borderId="1" xfId="0" applyFont="1" applyFill="1" applyBorder="1" applyAlignment="1">
      <alignment vertical="top" wrapText="1"/>
    </xf>
    <xf numFmtId="0" fontId="27" fillId="0" borderId="1" xfId="0" applyFont="1" applyBorder="1" applyAlignment="1">
      <alignment horizontal="center" vertical="top" wrapText="1"/>
    </xf>
    <xf numFmtId="0" fontId="32" fillId="0" borderId="0" xfId="0" applyFont="1" applyBorder="1" applyAlignment="1">
      <alignment horizontal="center" vertical="top" wrapText="1"/>
    </xf>
    <xf numFmtId="0" fontId="32" fillId="0" borderId="0" xfId="0" applyFont="1" applyBorder="1" applyAlignment="1">
      <alignment vertical="top" wrapText="1"/>
    </xf>
    <xf numFmtId="0" fontId="20" fillId="0" borderId="0" xfId="0" applyFont="1"/>
    <xf numFmtId="0" fontId="13" fillId="0" borderId="0" xfId="0" applyFont="1"/>
    <xf numFmtId="4" fontId="0" fillId="0" borderId="0" xfId="0" applyNumberFormat="1"/>
    <xf numFmtId="3" fontId="0" fillId="0" borderId="1" xfId="0" applyNumberFormat="1" applyBorder="1"/>
    <xf numFmtId="0" fontId="37" fillId="0" borderId="0" xfId="0" applyFont="1"/>
    <xf numFmtId="0" fontId="39" fillId="0" borderId="0" xfId="0" applyFont="1"/>
    <xf numFmtId="4" fontId="13" fillId="0" borderId="1" xfId="0" applyNumberFormat="1" applyFont="1" applyBorder="1" applyAlignment="1">
      <alignment horizontal="center"/>
    </xf>
    <xf numFmtId="3" fontId="0" fillId="0" borderId="0" xfId="0" applyNumberFormat="1" applyFill="1"/>
    <xf numFmtId="0" fontId="21" fillId="3" borderId="0" xfId="0" applyFont="1" applyFill="1"/>
    <xf numFmtId="0" fontId="21" fillId="0" borderId="0" xfId="0" applyFont="1" applyFill="1" applyBorder="1"/>
    <xf numFmtId="0" fontId="8" fillId="0" borderId="0" xfId="0" applyFont="1" applyFill="1"/>
    <xf numFmtId="3" fontId="15" fillId="0" borderId="3" xfId="0" applyNumberFormat="1" applyFont="1" applyFill="1" applyBorder="1" applyAlignment="1">
      <alignment horizontal="right" vertical="top" wrapText="1"/>
    </xf>
    <xf numFmtId="3" fontId="15" fillId="0" borderId="3" xfId="0" applyNumberFormat="1" applyFont="1" applyFill="1" applyBorder="1" applyAlignment="1">
      <alignment horizontal="right" vertical="top"/>
    </xf>
    <xf numFmtId="0" fontId="15" fillId="0" borderId="0" xfId="0" applyFont="1" applyFill="1" applyAlignment="1"/>
    <xf numFmtId="0" fontId="44" fillId="0" borderId="0" xfId="0" applyFont="1"/>
    <xf numFmtId="0" fontId="8" fillId="0" borderId="1" xfId="0" applyFont="1" applyFill="1" applyBorder="1" applyAlignment="1">
      <alignment horizontal="center" vertical="center" wrapText="1"/>
    </xf>
    <xf numFmtId="0" fontId="21" fillId="0" borderId="0" xfId="0" applyFont="1"/>
    <xf numFmtId="0" fontId="15" fillId="0" borderId="4" xfId="0" applyFont="1" applyBorder="1" applyAlignment="1">
      <alignment horizontal="center" vertical="top" wrapText="1"/>
    </xf>
    <xf numFmtId="0" fontId="15" fillId="0" borderId="1" xfId="0" applyFont="1" applyBorder="1" applyAlignment="1">
      <alignment horizontal="center" vertical="top" wrapText="1"/>
    </xf>
    <xf numFmtId="0" fontId="8" fillId="0" borderId="1" xfId="0" applyFont="1" applyFill="1" applyBorder="1" applyAlignment="1">
      <alignment horizontal="left" vertical="center" wrapText="1"/>
    </xf>
    <xf numFmtId="1" fontId="8" fillId="0" borderId="0" xfId="0" applyNumberFormat="1" applyFont="1"/>
    <xf numFmtId="0" fontId="8" fillId="0" borderId="1" xfId="0" applyFont="1" applyBorder="1" applyAlignment="1">
      <alignment horizontal="center" vertical="center" wrapText="1"/>
    </xf>
    <xf numFmtId="0" fontId="13" fillId="0" borderId="3" xfId="0" applyFont="1" applyBorder="1" applyAlignment="1">
      <alignment horizontal="left"/>
    </xf>
    <xf numFmtId="0" fontId="5" fillId="0" borderId="0" xfId="5" applyFont="1" applyAlignment="1">
      <alignment horizontal="centerContinuous"/>
    </xf>
    <xf numFmtId="0" fontId="8" fillId="0" borderId="0" xfId="5" applyFont="1" applyAlignment="1"/>
    <xf numFmtId="0" fontId="1" fillId="0" borderId="0" xfId="5" applyFont="1"/>
    <xf numFmtId="0" fontId="11" fillId="0" borderId="0" xfId="5" applyFont="1"/>
    <xf numFmtId="0" fontId="5" fillId="0" borderId="0" xfId="5" applyFont="1" applyAlignment="1">
      <alignment horizontal="left"/>
    </xf>
    <xf numFmtId="0" fontId="5" fillId="0" borderId="0" xfId="5" applyFont="1" applyAlignment="1">
      <alignment horizontal="center"/>
    </xf>
    <xf numFmtId="0" fontId="5" fillId="0" borderId="0" xfId="5" applyFont="1"/>
    <xf numFmtId="0" fontId="5" fillId="0" borderId="0" xfId="5" applyFont="1" applyAlignment="1">
      <alignment horizontal="right"/>
    </xf>
    <xf numFmtId="0" fontId="15" fillId="0" borderId="1" xfId="5" applyFont="1" applyBorder="1" applyAlignment="1">
      <alignment horizontal="center"/>
    </xf>
    <xf numFmtId="0" fontId="23" fillId="0" borderId="1" xfId="5" applyFont="1" applyBorder="1" applyAlignment="1">
      <alignment horizontal="center"/>
    </xf>
    <xf numFmtId="3" fontId="23" fillId="0" borderId="1" xfId="5" applyNumberFormat="1" applyFont="1" applyBorder="1"/>
    <xf numFmtId="0" fontId="23" fillId="0" borderId="1" xfId="5" applyFont="1" applyBorder="1" applyAlignment="1">
      <alignment horizontal="justify" wrapText="1"/>
    </xf>
    <xf numFmtId="0" fontId="25" fillId="0" borderId="1" xfId="5" applyFont="1" applyBorder="1" applyAlignment="1">
      <alignment horizontal="center"/>
    </xf>
    <xf numFmtId="3" fontId="25" fillId="0" borderId="1" xfId="5" applyNumberFormat="1" applyFont="1" applyBorder="1"/>
    <xf numFmtId="0" fontId="48" fillId="0" borderId="0" xfId="5" applyFont="1"/>
    <xf numFmtId="0" fontId="49" fillId="0" borderId="0" xfId="5" applyFont="1"/>
    <xf numFmtId="1" fontId="22" fillId="0" borderId="1" xfId="5" applyNumberFormat="1" applyFont="1" applyBorder="1" applyAlignment="1">
      <alignment horizontal="center" vertical="center"/>
    </xf>
    <xf numFmtId="0" fontId="22" fillId="0" borderId="1" xfId="5" applyFont="1" applyBorder="1" applyAlignment="1">
      <alignment vertical="center" wrapText="1"/>
    </xf>
    <xf numFmtId="3" fontId="15" fillId="0" borderId="1" xfId="5" applyNumberFormat="1" applyFont="1" applyBorder="1"/>
    <xf numFmtId="0" fontId="25" fillId="0" borderId="1" xfId="5" applyFont="1" applyBorder="1" applyAlignment="1">
      <alignment horizontal="justify" wrapText="1"/>
    </xf>
    <xf numFmtId="0" fontId="15" fillId="0" borderId="1" xfId="5" applyFont="1" applyBorder="1" applyAlignment="1">
      <alignment horizontal="justify" wrapText="1"/>
    </xf>
    <xf numFmtId="0" fontId="23" fillId="0" borderId="1" xfId="5" applyFont="1" applyBorder="1"/>
    <xf numFmtId="0" fontId="50" fillId="0" borderId="0" xfId="5" applyFont="1"/>
    <xf numFmtId="0" fontId="51" fillId="0" borderId="0" xfId="5" applyFont="1"/>
    <xf numFmtId="0" fontId="52" fillId="0" borderId="1" xfId="5" applyFont="1" applyBorder="1" applyAlignment="1">
      <alignment vertical="center" wrapText="1"/>
    </xf>
    <xf numFmtId="0" fontId="14" fillId="0" borderId="0" xfId="5" applyFont="1"/>
    <xf numFmtId="0" fontId="12" fillId="0" borderId="0" xfId="5" applyFont="1"/>
    <xf numFmtId="0" fontId="53" fillId="0" borderId="1" xfId="5" applyFont="1" applyBorder="1" applyAlignment="1">
      <alignment vertical="center" wrapText="1"/>
    </xf>
    <xf numFmtId="0" fontId="23" fillId="0" borderId="1" xfId="5" applyFont="1" applyBorder="1" applyAlignment="1">
      <alignment horizontal="center" wrapText="1"/>
    </xf>
    <xf numFmtId="0" fontId="15" fillId="0" borderId="1" xfId="5" applyFont="1" applyBorder="1" applyAlignment="1">
      <alignment horizontal="justify" vertical="center" wrapText="1"/>
    </xf>
    <xf numFmtId="0" fontId="15" fillId="0" borderId="1" xfId="5" applyFont="1" applyBorder="1"/>
    <xf numFmtId="3" fontId="11" fillId="0" borderId="0" xfId="5" applyNumberFormat="1" applyFont="1"/>
    <xf numFmtId="0" fontId="53" fillId="0" borderId="0" xfId="5" applyFont="1"/>
    <xf numFmtId="0" fontId="15" fillId="0" borderId="1" xfId="5" applyFont="1" applyBorder="1" applyAlignment="1">
      <alignment wrapText="1"/>
    </xf>
    <xf numFmtId="0" fontId="15" fillId="0" borderId="1" xfId="5" applyFont="1" applyBorder="1" applyAlignment="1">
      <alignment horizontal="center" vertical="justify"/>
    </xf>
    <xf numFmtId="0" fontId="15" fillId="0" borderId="1" xfId="5" applyFont="1" applyBorder="1" applyAlignment="1">
      <alignment horizontal="center" vertical="top"/>
    </xf>
    <xf numFmtId="4" fontId="15" fillId="0" borderId="1" xfId="5" applyNumberFormat="1" applyFont="1" applyBorder="1"/>
    <xf numFmtId="0" fontId="15" fillId="0" borderId="0" xfId="5" applyFont="1" applyBorder="1"/>
    <xf numFmtId="3" fontId="23" fillId="0" borderId="0" xfId="5" applyNumberFormat="1" applyFont="1" applyBorder="1"/>
    <xf numFmtId="0" fontId="8" fillId="0" borderId="0" xfId="5" applyFont="1" applyBorder="1"/>
    <xf numFmtId="0" fontId="26" fillId="0" borderId="0" xfId="5" applyFont="1"/>
    <xf numFmtId="0" fontId="13" fillId="0" borderId="0" xfId="5" applyFont="1" applyBorder="1"/>
    <xf numFmtId="0" fontId="54" fillId="0" borderId="0" xfId="5" applyFont="1"/>
    <xf numFmtId="0" fontId="15" fillId="0" borderId="1" xfId="10" applyFont="1" applyBorder="1" applyAlignment="1">
      <alignment horizontal="justify" vertical="top" wrapText="1"/>
    </xf>
    <xf numFmtId="0" fontId="15" fillId="0" borderId="1" xfId="10" applyFont="1" applyBorder="1" applyAlignment="1">
      <alignment vertical="top" wrapText="1"/>
    </xf>
    <xf numFmtId="0" fontId="15" fillId="0" borderId="1" xfId="10" applyNumberFormat="1" applyFont="1" applyBorder="1" applyAlignment="1">
      <alignment vertical="top" wrapText="1"/>
    </xf>
    <xf numFmtId="0" fontId="15" fillId="0" borderId="1" xfId="10" applyFont="1" applyBorder="1" applyAlignment="1">
      <alignment horizontal="justify" wrapText="1"/>
    </xf>
    <xf numFmtId="0" fontId="23" fillId="0" borderId="1" xfId="10" applyFont="1" applyBorder="1" applyAlignment="1">
      <alignment horizontal="center"/>
    </xf>
    <xf numFmtId="0" fontId="22" fillId="0" borderId="1" xfId="10" applyFont="1" applyBorder="1" applyAlignment="1">
      <alignment vertical="center" wrapText="1"/>
    </xf>
    <xf numFmtId="0" fontId="23" fillId="0" borderId="0" xfId="10" applyFont="1" applyBorder="1" applyAlignment="1">
      <alignment horizontal="center"/>
    </xf>
    <xf numFmtId="3" fontId="8" fillId="3" borderId="0" xfId="0" applyNumberFormat="1" applyFont="1" applyFill="1"/>
    <xf numFmtId="191" fontId="7" fillId="0" borderId="0" xfId="0" applyNumberFormat="1" applyFont="1"/>
    <xf numFmtId="191" fontId="56" fillId="0" borderId="0" xfId="0" applyNumberFormat="1" applyFont="1"/>
    <xf numFmtId="190" fontId="0" fillId="0" borderId="0" xfId="0" applyNumberFormat="1"/>
    <xf numFmtId="191" fontId="7" fillId="0" borderId="0" xfId="0" applyNumberFormat="1" applyFont="1" applyAlignment="1">
      <alignment horizontal="right"/>
    </xf>
    <xf numFmtId="3" fontId="15" fillId="0" borderId="5" xfId="0" applyNumberFormat="1" applyFont="1" applyFill="1" applyBorder="1" applyAlignment="1">
      <alignment horizontal="right" vertical="top"/>
    </xf>
    <xf numFmtId="3" fontId="15" fillId="0" borderId="6" xfId="0" applyNumberFormat="1" applyFont="1" applyFill="1" applyBorder="1" applyAlignment="1">
      <alignment horizontal="right" vertical="top"/>
    </xf>
    <xf numFmtId="0" fontId="15" fillId="0" borderId="5" xfId="0" applyFont="1" applyFill="1" applyBorder="1" applyAlignment="1">
      <alignment horizontal="left" vertical="top" wrapText="1" shrinkToFit="1"/>
    </xf>
    <xf numFmtId="0" fontId="2" fillId="0" borderId="0" xfId="0" applyFont="1" applyFill="1" applyBorder="1"/>
    <xf numFmtId="4" fontId="2" fillId="0" borderId="0" xfId="0" applyNumberFormat="1" applyFont="1" applyFill="1" applyBorder="1"/>
    <xf numFmtId="0" fontId="3" fillId="0" borderId="0" xfId="0" applyFont="1" applyFill="1" applyBorder="1"/>
    <xf numFmtId="0" fontId="8" fillId="0" borderId="1" xfId="0" applyFont="1" applyFill="1" applyBorder="1" applyAlignment="1">
      <alignment horizontal="center" vertical="top" wrapText="1"/>
    </xf>
    <xf numFmtId="0" fontId="5" fillId="0" borderId="0" xfId="0" applyFont="1" applyFill="1" applyAlignment="1">
      <alignment horizontal="centerContinuous"/>
    </xf>
    <xf numFmtId="0" fontId="8" fillId="0" borderId="0" xfId="0" applyFont="1" applyFill="1" applyAlignment="1"/>
    <xf numFmtId="0" fontId="5" fillId="0" borderId="0" xfId="0" applyFont="1" applyFill="1" applyAlignment="1">
      <alignment horizontal="left"/>
    </xf>
    <xf numFmtId="0" fontId="7" fillId="0" borderId="0" xfId="0" applyFont="1" applyFill="1" applyBorder="1" applyAlignment="1">
      <alignment horizontal="center"/>
    </xf>
    <xf numFmtId="3" fontId="8" fillId="0" borderId="0" xfId="0" applyNumberFormat="1" applyFont="1" applyFill="1"/>
    <xf numFmtId="1" fontId="8" fillId="0" borderId="0" xfId="0" applyNumberFormat="1" applyFont="1" applyFill="1"/>
    <xf numFmtId="0" fontId="41" fillId="0" borderId="0" xfId="0" applyFont="1" applyFill="1"/>
    <xf numFmtId="3" fontId="41" fillId="0" borderId="0" xfId="0" applyNumberFormat="1" applyFont="1" applyFill="1"/>
    <xf numFmtId="0" fontId="8" fillId="0" borderId="0" xfId="0" applyFont="1" applyAlignment="1">
      <alignment wrapText="1"/>
    </xf>
    <xf numFmtId="186" fontId="8" fillId="0" borderId="0" xfId="0" applyNumberFormat="1" applyFont="1"/>
    <xf numFmtId="0" fontId="8" fillId="0" borderId="0" xfId="0" applyFont="1" applyBorder="1" applyAlignment="1">
      <alignment horizontal="center" vertical="center" wrapText="1"/>
    </xf>
    <xf numFmtId="0" fontId="15" fillId="0" borderId="5" xfId="0" applyNumberFormat="1" applyFont="1" applyFill="1" applyBorder="1" applyAlignment="1">
      <alignment vertical="top" wrapText="1"/>
    </xf>
    <xf numFmtId="3" fontId="15" fillId="0" borderId="1" xfId="5" applyNumberFormat="1" applyFont="1" applyFill="1" applyBorder="1"/>
    <xf numFmtId="0" fontId="8" fillId="0" borderId="2" xfId="0" applyFont="1" applyBorder="1" applyAlignment="1">
      <alignment horizontal="center" vertical="center" wrapText="1"/>
    </xf>
    <xf numFmtId="49" fontId="15" fillId="0" borderId="1" xfId="0" applyNumberFormat="1" applyFont="1" applyBorder="1" applyAlignment="1">
      <alignment horizontal="center" vertical="top"/>
    </xf>
    <xf numFmtId="49" fontId="15" fillId="0" borderId="5" xfId="0" applyNumberFormat="1" applyFont="1" applyFill="1" applyBorder="1" applyAlignment="1">
      <alignment horizontal="center" vertical="top"/>
    </xf>
    <xf numFmtId="49" fontId="21" fillId="0" borderId="0" xfId="0" applyNumberFormat="1" applyFont="1" applyFill="1"/>
    <xf numFmtId="49" fontId="23" fillId="4" borderId="2" xfId="0" applyNumberFormat="1" applyFont="1" applyFill="1" applyBorder="1" applyAlignment="1">
      <alignment horizontal="center" vertical="top" wrapText="1"/>
    </xf>
    <xf numFmtId="0" fontId="23" fillId="4" borderId="2" xfId="0" applyFont="1" applyFill="1" applyBorder="1" applyAlignment="1">
      <alignment horizontal="left" vertical="top" wrapText="1" shrinkToFit="1"/>
    </xf>
    <xf numFmtId="4" fontId="2" fillId="4" borderId="0" xfId="0" applyNumberFormat="1" applyFont="1" applyFill="1" applyBorder="1"/>
    <xf numFmtId="49" fontId="23" fillId="4" borderId="1" xfId="0" applyNumberFormat="1" applyFont="1" applyFill="1" applyBorder="1" applyAlignment="1">
      <alignment horizontal="center" vertical="top" wrapText="1"/>
    </xf>
    <xf numFmtId="0" fontId="23" fillId="4" borderId="1" xfId="0" applyFont="1" applyFill="1" applyBorder="1" applyAlignment="1">
      <alignment horizontal="left" vertical="top" wrapText="1" shrinkToFit="1"/>
    </xf>
    <xf numFmtId="49" fontId="23" fillId="4" borderId="1" xfId="0" applyNumberFormat="1" applyFont="1" applyFill="1" applyBorder="1" applyAlignment="1">
      <alignment horizontal="center" vertical="top"/>
    </xf>
    <xf numFmtId="0" fontId="23" fillId="4" borderId="1" xfId="0" applyFont="1" applyFill="1" applyBorder="1" applyAlignment="1">
      <alignment horizontal="center" vertical="top"/>
    </xf>
    <xf numFmtId="49" fontId="15" fillId="4" borderId="1" xfId="0" applyNumberFormat="1" applyFont="1" applyFill="1" applyBorder="1" applyAlignment="1">
      <alignment horizontal="center" vertical="top"/>
    </xf>
    <xf numFmtId="0" fontId="21" fillId="4" borderId="0" xfId="0" applyFont="1" applyFill="1"/>
    <xf numFmtId="0" fontId="12" fillId="4" borderId="0" xfId="0" applyFont="1" applyFill="1"/>
    <xf numFmtId="0" fontId="21" fillId="4" borderId="0" xfId="0" applyFont="1" applyFill="1" applyBorder="1"/>
    <xf numFmtId="0" fontId="23" fillId="4" borderId="1" xfId="0" applyFont="1" applyFill="1" applyBorder="1" applyAlignment="1">
      <alignment horizontal="left" vertical="top"/>
    </xf>
    <xf numFmtId="0" fontId="24" fillId="0" borderId="1" xfId="0" applyFont="1" applyFill="1" applyBorder="1" applyAlignment="1">
      <alignment horizontal="center" vertical="top"/>
    </xf>
    <xf numFmtId="49" fontId="24" fillId="0" borderId="1" xfId="0" applyNumberFormat="1" applyFont="1" applyFill="1" applyBorder="1" applyAlignment="1">
      <alignment horizontal="center" vertical="top"/>
    </xf>
    <xf numFmtId="0" fontId="49" fillId="0" borderId="0" xfId="0" applyFont="1" applyFill="1" applyBorder="1"/>
    <xf numFmtId="49" fontId="24" fillId="0" borderId="3" xfId="0" applyNumberFormat="1" applyFont="1" applyFill="1" applyBorder="1" applyAlignment="1">
      <alignment horizontal="center" vertical="top"/>
    </xf>
    <xf numFmtId="0" fontId="24" fillId="0" borderId="1" xfId="0" applyFont="1" applyBorder="1" applyAlignment="1">
      <alignment horizontal="justify" wrapText="1"/>
    </xf>
    <xf numFmtId="0" fontId="49" fillId="0" borderId="0" xfId="0" applyFont="1" applyFill="1"/>
    <xf numFmtId="0" fontId="58" fillId="0" borderId="0" xfId="0" applyFont="1" applyFill="1" applyBorder="1"/>
    <xf numFmtId="0" fontId="59" fillId="5" borderId="0" xfId="0" applyFont="1" applyFill="1"/>
    <xf numFmtId="49" fontId="59" fillId="5" borderId="0" xfId="0" applyNumberFormat="1" applyFont="1" applyFill="1"/>
    <xf numFmtId="0" fontId="59" fillId="5" borderId="0" xfId="0" applyFont="1" applyFill="1" applyBorder="1"/>
    <xf numFmtId="0" fontId="24" fillId="2" borderId="1" xfId="0" applyFont="1" applyFill="1" applyBorder="1" applyAlignment="1">
      <alignment horizontal="center" vertical="top"/>
    </xf>
    <xf numFmtId="0" fontId="24" fillId="2" borderId="1" xfId="0" applyFont="1" applyFill="1" applyBorder="1" applyAlignment="1">
      <alignment horizontal="left" vertical="top" wrapText="1" shrinkToFit="1"/>
    </xf>
    <xf numFmtId="0" fontId="60" fillId="0" borderId="0" xfId="0" applyFont="1"/>
    <xf numFmtId="0" fontId="49" fillId="0" borderId="0" xfId="0" applyFont="1"/>
    <xf numFmtId="3" fontId="15" fillId="2" borderId="1" xfId="0" applyNumberFormat="1" applyFont="1" applyFill="1" applyBorder="1" applyAlignment="1">
      <alignment vertical="top" wrapText="1"/>
    </xf>
    <xf numFmtId="0" fontId="62" fillId="0" borderId="0" xfId="0" applyFont="1" applyAlignment="1">
      <alignment horizontal="right"/>
    </xf>
    <xf numFmtId="3" fontId="62" fillId="0" borderId="0" xfId="0" applyNumberFormat="1" applyFont="1" applyAlignment="1">
      <alignment horizontal="right"/>
    </xf>
    <xf numFmtId="0" fontId="15" fillId="0" borderId="1" xfId="0" applyFont="1" applyFill="1" applyBorder="1" applyAlignment="1">
      <alignment vertical="top" wrapText="1" shrinkToFit="1"/>
    </xf>
    <xf numFmtId="3" fontId="23" fillId="4" borderId="1" xfId="0" applyNumberFormat="1" applyFont="1" applyFill="1" applyBorder="1" applyAlignment="1">
      <alignment vertical="top"/>
    </xf>
    <xf numFmtId="0" fontId="38" fillId="0" borderId="0" xfId="0" applyFont="1" applyAlignment="1">
      <alignment horizontal="right"/>
    </xf>
    <xf numFmtId="3" fontId="38" fillId="0" borderId="0" xfId="0" applyNumberFormat="1" applyFont="1" applyAlignment="1">
      <alignment horizontal="right"/>
    </xf>
    <xf numFmtId="4" fontId="37" fillId="0" borderId="0" xfId="0" applyNumberFormat="1" applyFont="1" applyFill="1"/>
    <xf numFmtId="4" fontId="21" fillId="0" borderId="0" xfId="0" applyNumberFormat="1" applyFont="1" applyFill="1"/>
    <xf numFmtId="3" fontId="23" fillId="4" borderId="2" xfId="0" applyNumberFormat="1" applyFont="1" applyFill="1" applyBorder="1" applyAlignment="1">
      <alignment vertical="top"/>
    </xf>
    <xf numFmtId="3" fontId="15" fillId="0" borderId="1" xfId="0" applyNumberFormat="1" applyFont="1" applyFill="1" applyBorder="1" applyAlignment="1">
      <alignment vertical="top"/>
    </xf>
    <xf numFmtId="4" fontId="15" fillId="0" borderId="1" xfId="0" applyNumberFormat="1" applyFont="1" applyFill="1" applyBorder="1" applyAlignment="1">
      <alignment vertical="top"/>
    </xf>
    <xf numFmtId="3" fontId="33" fillId="0" borderId="1" xfId="0" applyNumberFormat="1" applyFont="1" applyFill="1" applyBorder="1" applyAlignment="1">
      <alignment vertical="top"/>
    </xf>
    <xf numFmtId="3" fontId="24" fillId="0" borderId="1" xfId="0" applyNumberFormat="1" applyFont="1" applyFill="1" applyBorder="1" applyAlignment="1">
      <alignment vertical="top"/>
    </xf>
    <xf numFmtId="4" fontId="23" fillId="4" borderId="1" xfId="0" applyNumberFormat="1" applyFont="1" applyFill="1" applyBorder="1" applyAlignment="1">
      <alignment vertical="top"/>
    </xf>
    <xf numFmtId="3" fontId="24" fillId="0" borderId="1" xfId="0" applyNumberFormat="1" applyFont="1" applyFill="1" applyBorder="1" applyAlignment="1">
      <alignment vertical="top" wrapText="1"/>
    </xf>
    <xf numFmtId="3" fontId="15" fillId="0" borderId="1" xfId="0" applyNumberFormat="1" applyFont="1" applyFill="1" applyBorder="1" applyAlignment="1">
      <alignment vertical="top" wrapText="1"/>
    </xf>
    <xf numFmtId="4" fontId="35" fillId="4" borderId="1" xfId="0" applyNumberFormat="1" applyFont="1" applyFill="1" applyBorder="1" applyAlignment="1">
      <alignment vertical="top"/>
    </xf>
    <xf numFmtId="4" fontId="33" fillId="0" borderId="1" xfId="0" applyNumberFormat="1" applyFont="1" applyFill="1" applyBorder="1" applyAlignment="1">
      <alignment vertical="top"/>
    </xf>
    <xf numFmtId="3" fontId="23" fillId="0" borderId="1" xfId="0" applyNumberFormat="1" applyFont="1" applyFill="1" applyBorder="1" applyAlignment="1">
      <alignment vertical="top"/>
    </xf>
    <xf numFmtId="3" fontId="15" fillId="0" borderId="3" xfId="0" applyNumberFormat="1" applyFont="1" applyFill="1" applyBorder="1" applyAlignment="1">
      <alignment vertical="top"/>
    </xf>
    <xf numFmtId="3" fontId="24" fillId="0" borderId="3" xfId="0" applyNumberFormat="1" applyFont="1" applyFill="1" applyBorder="1" applyAlignment="1">
      <alignment vertical="top"/>
    </xf>
    <xf numFmtId="3" fontId="15" fillId="0" borderId="3" xfId="0" applyNumberFormat="1" applyFont="1" applyFill="1" applyBorder="1" applyAlignment="1">
      <alignment vertical="top" wrapText="1"/>
    </xf>
    <xf numFmtId="3" fontId="40" fillId="0" borderId="1" xfId="0" applyNumberFormat="1" applyFont="1" applyFill="1" applyBorder="1" applyAlignment="1">
      <alignment vertical="top"/>
    </xf>
    <xf numFmtId="0" fontId="15" fillId="0" borderId="1" xfId="5" applyFont="1" applyFill="1" applyBorder="1" applyAlignment="1">
      <alignment horizontal="center" vertical="justify"/>
    </xf>
    <xf numFmtId="2" fontId="15" fillId="0" borderId="1" xfId="0" applyNumberFormat="1" applyFont="1" applyFill="1" applyBorder="1" applyAlignment="1">
      <alignment vertical="top"/>
    </xf>
    <xf numFmtId="4" fontId="23" fillId="0" borderId="1" xfId="5" applyNumberFormat="1" applyFont="1" applyBorder="1"/>
    <xf numFmtId="0" fontId="13" fillId="0" borderId="0" xfId="0" applyFont="1" applyAlignment="1">
      <alignment wrapText="1"/>
    </xf>
    <xf numFmtId="0" fontId="8" fillId="0" borderId="1" xfId="7" applyFont="1" applyFill="1" applyBorder="1" applyAlignment="1">
      <alignment horizontal="left" vertical="center" wrapText="1"/>
    </xf>
    <xf numFmtId="0" fontId="15" fillId="0" borderId="7" xfId="0" applyFont="1" applyBorder="1" applyAlignment="1">
      <alignment horizontal="center" vertical="top" wrapText="1"/>
    </xf>
    <xf numFmtId="0" fontId="15" fillId="0" borderId="7" xfId="0" applyFont="1" applyBorder="1" applyAlignment="1">
      <alignment vertical="top" wrapText="1"/>
    </xf>
    <xf numFmtId="0" fontId="23" fillId="0" borderId="1" xfId="10" applyFont="1" applyBorder="1" applyAlignment="1">
      <alignment horizontal="left" wrapText="1"/>
    </xf>
    <xf numFmtId="4" fontId="0" fillId="0" borderId="1" xfId="0" applyNumberFormat="1" applyBorder="1"/>
    <xf numFmtId="0" fontId="98" fillId="0" borderId="1" xfId="0" applyFont="1" applyFill="1" applyBorder="1" applyAlignment="1">
      <alignment horizontal="left" vertical="center" wrapText="1"/>
    </xf>
    <xf numFmtId="0" fontId="98" fillId="0" borderId="0" xfId="0" applyFont="1"/>
    <xf numFmtId="4" fontId="8" fillId="0" borderId="0" xfId="0" applyNumberFormat="1" applyFont="1" applyFill="1"/>
    <xf numFmtId="0" fontId="8" fillId="0" borderId="0" xfId="0" applyFont="1" applyFill="1" applyAlignment="1">
      <alignment horizontal="left"/>
    </xf>
    <xf numFmtId="0" fontId="13" fillId="0" borderId="0" xfId="0" applyFont="1" applyFill="1" applyBorder="1" applyAlignment="1">
      <alignment horizontal="center"/>
    </xf>
    <xf numFmtId="0" fontId="15" fillId="8" borderId="1" xfId="0" applyFont="1" applyFill="1" applyBorder="1" applyAlignment="1">
      <alignment vertical="top" wrapText="1" shrinkToFit="1"/>
    </xf>
    <xf numFmtId="0" fontId="0" fillId="8" borderId="0" xfId="0" applyFill="1"/>
    <xf numFmtId="3" fontId="13" fillId="8" borderId="0" xfId="0" applyNumberFormat="1" applyFont="1" applyFill="1" applyBorder="1" applyAlignment="1">
      <alignment horizontal="center" wrapText="1"/>
    </xf>
    <xf numFmtId="3" fontId="8" fillId="8" borderId="0" xfId="0" applyNumberFormat="1" applyFont="1" applyFill="1"/>
    <xf numFmtId="0" fontId="8" fillId="8" borderId="0" xfId="0" applyFont="1" applyFill="1"/>
    <xf numFmtId="0" fontId="5" fillId="8" borderId="0" xfId="0" applyFont="1" applyFill="1" applyAlignment="1">
      <alignment horizontal="centerContinuous"/>
    </xf>
    <xf numFmtId="0" fontId="8" fillId="8" borderId="0" xfId="0" applyFont="1" applyFill="1" applyAlignment="1"/>
    <xf numFmtId="0" fontId="5" fillId="8" borderId="0" xfId="0" applyFont="1" applyFill="1" applyAlignment="1">
      <alignment horizontal="left"/>
    </xf>
    <xf numFmtId="0" fontId="7" fillId="8" borderId="0" xfId="0" applyFont="1" applyFill="1" applyBorder="1" applyAlignment="1">
      <alignment horizontal="center"/>
    </xf>
    <xf numFmtId="0" fontId="13" fillId="8" borderId="0" xfId="0" applyFont="1" applyFill="1" applyBorder="1" applyAlignment="1">
      <alignment wrapText="1"/>
    </xf>
    <xf numFmtId="0" fontId="8" fillId="8" borderId="0" xfId="5" applyFont="1" applyFill="1" applyBorder="1"/>
    <xf numFmtId="0" fontId="26" fillId="8" borderId="0" xfId="5" applyFont="1" applyFill="1"/>
    <xf numFmtId="0" fontId="13" fillId="8" borderId="0" xfId="5" applyFont="1" applyFill="1" applyBorder="1"/>
    <xf numFmtId="0" fontId="13" fillId="8" borderId="0" xfId="0" applyFont="1" applyFill="1"/>
    <xf numFmtId="3" fontId="13" fillId="8" borderId="0" xfId="0" applyNumberFormat="1" applyFont="1" applyFill="1"/>
    <xf numFmtId="49" fontId="24" fillId="0" borderId="5" xfId="0" applyNumberFormat="1" applyFont="1" applyFill="1" applyBorder="1" applyAlignment="1">
      <alignment horizontal="center" vertical="top"/>
    </xf>
    <xf numFmtId="0" fontId="24" fillId="8" borderId="1" xfId="0" applyFont="1" applyFill="1" applyBorder="1" applyAlignment="1">
      <alignment horizontal="left" vertical="top" wrapText="1" shrinkToFit="1"/>
    </xf>
    <xf numFmtId="3" fontId="24" fillId="0" borderId="3" xfId="0" applyNumberFormat="1" applyFont="1" applyFill="1" applyBorder="1" applyAlignment="1">
      <alignment vertical="top" wrapText="1"/>
    </xf>
    <xf numFmtId="3" fontId="24" fillId="8" borderId="1" xfId="0" applyNumberFormat="1" applyFont="1" applyFill="1" applyBorder="1" applyAlignment="1">
      <alignment horizontal="right" vertical="top"/>
    </xf>
    <xf numFmtId="0" fontId="24" fillId="0" borderId="1" xfId="0" applyNumberFormat="1" applyFont="1" applyBorder="1" applyAlignment="1">
      <alignment vertical="top" wrapText="1"/>
    </xf>
    <xf numFmtId="3" fontId="24" fillId="0" borderId="5" xfId="0" applyNumberFormat="1" applyFont="1" applyFill="1" applyBorder="1" applyAlignment="1">
      <alignment horizontal="right" vertical="top"/>
    </xf>
    <xf numFmtId="3" fontId="24" fillId="0" borderId="6" xfId="0" applyNumberFormat="1" applyFont="1" applyFill="1" applyBorder="1" applyAlignment="1">
      <alignment horizontal="right" vertical="top"/>
    </xf>
    <xf numFmtId="0" fontId="65" fillId="0" borderId="0" xfId="0" applyFont="1" applyFill="1"/>
    <xf numFmtId="0" fontId="15" fillId="0" borderId="5" xfId="0" applyFont="1" applyFill="1" applyBorder="1" applyAlignment="1">
      <alignment horizontal="center" vertical="top"/>
    </xf>
    <xf numFmtId="0" fontId="15" fillId="0" borderId="5" xfId="0" applyNumberFormat="1" applyFont="1" applyBorder="1" applyAlignment="1">
      <alignment vertical="top" wrapText="1"/>
    </xf>
    <xf numFmtId="0" fontId="0" fillId="0" borderId="0" xfId="0" applyFont="1" applyFill="1" applyBorder="1"/>
    <xf numFmtId="0" fontId="15" fillId="0" borderId="0" xfId="0" applyFont="1" applyAlignment="1">
      <alignment wrapText="1"/>
    </xf>
    <xf numFmtId="0" fontId="33" fillId="0" borderId="1" xfId="6" applyFont="1" applyFill="1" applyBorder="1" applyAlignment="1">
      <alignment vertical="top" wrapText="1"/>
    </xf>
    <xf numFmtId="0" fontId="15" fillId="8" borderId="1" xfId="5" applyFont="1" applyFill="1" applyBorder="1" applyAlignment="1">
      <alignment horizontal="center" vertical="justify"/>
    </xf>
    <xf numFmtId="0" fontId="15" fillId="8" borderId="1" xfId="10" applyNumberFormat="1" applyFont="1" applyFill="1" applyBorder="1" applyAlignment="1">
      <alignment vertical="top" wrapText="1"/>
    </xf>
    <xf numFmtId="0" fontId="15" fillId="8" borderId="1" xfId="5" applyFont="1" applyFill="1" applyBorder="1" applyAlignment="1">
      <alignment horizontal="center" vertical="top"/>
    </xf>
    <xf numFmtId="0" fontId="33" fillId="0" borderId="1" xfId="0" applyFont="1" applyFill="1" applyBorder="1" applyAlignment="1">
      <alignment vertical="center" wrapText="1"/>
    </xf>
    <xf numFmtId="0" fontId="24" fillId="0" borderId="1" xfId="0" applyFont="1" applyFill="1" applyBorder="1" applyAlignment="1">
      <alignment vertical="top" wrapText="1" shrinkToFit="1"/>
    </xf>
    <xf numFmtId="0" fontId="15" fillId="0" borderId="1" xfId="6" applyFont="1" applyFill="1" applyBorder="1" applyAlignment="1">
      <alignment vertical="top" wrapText="1"/>
    </xf>
    <xf numFmtId="0" fontId="33" fillId="0" borderId="1" xfId="0" applyFont="1" applyFill="1" applyBorder="1" applyAlignment="1">
      <alignment wrapText="1"/>
    </xf>
    <xf numFmtId="0" fontId="33" fillId="0" borderId="1" xfId="0" applyFont="1" applyFill="1" applyBorder="1" applyAlignment="1">
      <alignment vertical="top" wrapText="1"/>
    </xf>
    <xf numFmtId="0" fontId="33" fillId="0" borderId="4" xfId="6" applyFont="1" applyFill="1" applyBorder="1" applyAlignment="1">
      <alignment vertical="top" wrapText="1"/>
    </xf>
    <xf numFmtId="4" fontId="15" fillId="8" borderId="1" xfId="5" applyNumberFormat="1" applyFont="1" applyFill="1" applyBorder="1"/>
    <xf numFmtId="0" fontId="11" fillId="8" borderId="0" xfId="5" applyFont="1" applyFill="1"/>
    <xf numFmtId="0" fontId="1" fillId="8" borderId="0" xfId="5" applyFont="1" applyFill="1"/>
    <xf numFmtId="4" fontId="3" fillId="4" borderId="0" xfId="0" applyNumberFormat="1" applyFont="1" applyFill="1" applyBorder="1"/>
    <xf numFmtId="3" fontId="13" fillId="0" borderId="0" xfId="0" applyNumberFormat="1" applyFont="1" applyFill="1"/>
    <xf numFmtId="4" fontId="21" fillId="0" borderId="0" xfId="0" applyNumberFormat="1" applyFont="1" applyFill="1" applyBorder="1"/>
    <xf numFmtId="4" fontId="0" fillId="0" borderId="0" xfId="0" applyNumberFormat="1" applyFill="1"/>
    <xf numFmtId="3" fontId="33" fillId="0" borderId="1" xfId="6"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wrapText="1" shrinkToFit="1"/>
    </xf>
    <xf numFmtId="3" fontId="33" fillId="0" borderId="1" xfId="0" applyNumberFormat="1" applyFont="1" applyFill="1" applyBorder="1" applyAlignment="1">
      <alignment horizontal="right" vertical="center" wrapText="1"/>
    </xf>
    <xf numFmtId="0" fontId="49" fillId="0" borderId="0" xfId="0" applyFont="1" applyAlignment="1">
      <alignment horizontal="left"/>
    </xf>
    <xf numFmtId="0" fontId="61" fillId="8" borderId="3" xfId="0" applyFont="1" applyFill="1" applyBorder="1" applyAlignment="1">
      <alignment horizontal="left" wrapText="1"/>
    </xf>
    <xf numFmtId="0" fontId="8" fillId="8" borderId="4" xfId="0" applyFont="1" applyFill="1" applyBorder="1" applyAlignment="1">
      <alignment horizontal="justify" vertical="center" wrapText="1"/>
    </xf>
    <xf numFmtId="0" fontId="98" fillId="0" borderId="0" xfId="0" applyFont="1" applyAlignment="1">
      <alignment wrapText="1"/>
    </xf>
    <xf numFmtId="0" fontId="98" fillId="8" borderId="0" xfId="0" applyFont="1" applyFill="1"/>
    <xf numFmtId="3" fontId="98" fillId="8" borderId="0" xfId="0" applyNumberFormat="1" applyFont="1" applyFill="1"/>
    <xf numFmtId="0" fontId="10" fillId="0" borderId="0" xfId="0" applyFont="1" applyAlignment="1">
      <alignment wrapText="1"/>
    </xf>
    <xf numFmtId="186" fontId="8" fillId="9" borderId="0" xfId="0" applyNumberFormat="1" applyFont="1" applyFill="1"/>
    <xf numFmtId="0" fontId="8" fillId="9" borderId="0" xfId="0" applyFont="1" applyFill="1"/>
    <xf numFmtId="0" fontId="99" fillId="9" borderId="1" xfId="6" applyFont="1" applyFill="1" applyBorder="1" applyAlignment="1">
      <alignment vertical="center" wrapText="1"/>
    </xf>
    <xf numFmtId="186" fontId="13" fillId="9" borderId="0" xfId="0" applyNumberFormat="1" applyFont="1" applyFill="1"/>
    <xf numFmtId="0" fontId="13" fillId="9" borderId="0" xfId="0" applyFont="1" applyFill="1"/>
    <xf numFmtId="186" fontId="13" fillId="0" borderId="0" xfId="0" applyNumberFormat="1" applyFont="1"/>
    <xf numFmtId="3" fontId="100" fillId="9" borderId="0" xfId="0" applyNumberFormat="1" applyFont="1" applyFill="1"/>
    <xf numFmtId="3" fontId="8" fillId="0" borderId="1" xfId="0" applyNumberFormat="1" applyFont="1" applyFill="1" applyBorder="1" applyAlignment="1">
      <alignment horizontal="right" vertical="center"/>
    </xf>
    <xf numFmtId="0" fontId="101" fillId="8" borderId="0" xfId="0" applyFont="1" applyFill="1" applyBorder="1" applyAlignment="1">
      <alignment horizontal="left" vertical="center" wrapText="1"/>
    </xf>
    <xf numFmtId="4" fontId="43" fillId="4" borderId="0" xfId="0" applyNumberFormat="1" applyFont="1" applyFill="1" applyBorder="1"/>
    <xf numFmtId="3" fontId="43" fillId="4" borderId="0" xfId="0" applyNumberFormat="1" applyFont="1" applyFill="1" applyBorder="1"/>
    <xf numFmtId="0" fontId="19" fillId="0" borderId="0" xfId="0" applyFont="1" applyFill="1" applyBorder="1"/>
    <xf numFmtId="0" fontId="19" fillId="0" borderId="0" xfId="0" applyFont="1" applyFill="1"/>
    <xf numFmtId="186" fontId="8" fillId="0" borderId="0" xfId="0" applyNumberFormat="1" applyFont="1" applyFill="1" applyBorder="1" applyAlignment="1">
      <alignment horizontal="center" vertical="center"/>
    </xf>
    <xf numFmtId="3" fontId="0" fillId="0" borderId="0" xfId="0" applyNumberFormat="1" applyFont="1" applyFill="1"/>
    <xf numFmtId="0" fontId="0" fillId="0" borderId="0" xfId="0" applyFont="1" applyFill="1"/>
    <xf numFmtId="0" fontId="0" fillId="0" borderId="0" xfId="0" applyFont="1"/>
    <xf numFmtId="3" fontId="15" fillId="0" borderId="5" xfId="0" applyNumberFormat="1" applyFont="1" applyFill="1" applyBorder="1" applyAlignment="1">
      <alignment vertical="top" wrapText="1"/>
    </xf>
    <xf numFmtId="3" fontId="13" fillId="9" borderId="0" xfId="0" applyNumberFormat="1" applyFont="1" applyFill="1"/>
    <xf numFmtId="0" fontId="15" fillId="0" borderId="0" xfId="0" applyFont="1"/>
    <xf numFmtId="0" fontId="8" fillId="8" borderId="1" xfId="0" applyFont="1" applyFill="1" applyBorder="1" applyAlignment="1">
      <alignment horizontal="center" vertical="center" wrapText="1"/>
    </xf>
    <xf numFmtId="4" fontId="61" fillId="8" borderId="1" xfId="0" applyNumberFormat="1" applyFont="1" applyFill="1" applyBorder="1" applyAlignment="1">
      <alignment vertical="center" wrapText="1"/>
    </xf>
    <xf numFmtId="4" fontId="1" fillId="0" borderId="0" xfId="5" applyNumberFormat="1" applyFont="1"/>
    <xf numFmtId="0" fontId="22" fillId="0" borderId="1" xfId="0" applyFont="1" applyFill="1" applyBorder="1" applyAlignment="1">
      <alignment horizontal="left" vertical="center" wrapText="1"/>
    </xf>
    <xf numFmtId="3" fontId="15" fillId="0" borderId="0" xfId="5" applyNumberFormat="1" applyFont="1" applyFill="1"/>
    <xf numFmtId="4" fontId="15" fillId="0" borderId="1" xfId="0" applyNumberFormat="1" applyFont="1" applyFill="1" applyBorder="1" applyAlignment="1"/>
    <xf numFmtId="3" fontId="27" fillId="9" borderId="1" xfId="0" applyNumberFormat="1" applyFont="1" applyFill="1" applyBorder="1" applyAlignment="1">
      <alignment horizontal="right" vertical="center"/>
    </xf>
    <xf numFmtId="0" fontId="15" fillId="0" borderId="1" xfId="10" applyNumberFormat="1" applyFont="1" applyFill="1" applyBorder="1" applyAlignment="1">
      <alignment vertical="top" wrapText="1"/>
    </xf>
    <xf numFmtId="0" fontId="70" fillId="0" borderId="1" xfId="5" applyFont="1" applyBorder="1" applyAlignment="1">
      <alignment horizontal="center"/>
    </xf>
    <xf numFmtId="0" fontId="8"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13" fillId="0" borderId="0" xfId="0" applyFont="1" applyAlignment="1">
      <alignment horizontal="center"/>
    </xf>
    <xf numFmtId="0" fontId="61" fillId="8" borderId="8" xfId="0" applyFont="1" applyFill="1" applyBorder="1" applyAlignment="1">
      <alignment horizontal="left" vertical="top" wrapText="1" shrinkToFit="1"/>
    </xf>
    <xf numFmtId="0" fontId="34" fillId="0" borderId="0" xfId="0" applyFont="1" applyFill="1" applyAlignment="1">
      <alignment horizontal="center"/>
    </xf>
    <xf numFmtId="3" fontId="15" fillId="8" borderId="1" xfId="0" applyNumberFormat="1" applyFont="1" applyFill="1" applyBorder="1" applyAlignment="1">
      <alignment vertical="top"/>
    </xf>
    <xf numFmtId="3" fontId="46" fillId="0" borderId="1" xfId="0" applyNumberFormat="1" applyFont="1" applyFill="1" applyBorder="1" applyAlignment="1">
      <alignment vertical="top"/>
    </xf>
    <xf numFmtId="3" fontId="33" fillId="8" borderId="1" xfId="0" applyNumberFormat="1" applyFont="1" applyFill="1" applyBorder="1" applyAlignment="1">
      <alignment vertical="top"/>
    </xf>
    <xf numFmtId="3" fontId="24" fillId="8" borderId="1" xfId="0" applyNumberFormat="1" applyFont="1" applyFill="1" applyBorder="1" applyAlignment="1">
      <alignment vertical="top"/>
    </xf>
    <xf numFmtId="3" fontId="23" fillId="0" borderId="3" xfId="0" applyNumberFormat="1" applyFont="1" applyFill="1" applyBorder="1" applyAlignment="1">
      <alignment vertical="top"/>
    </xf>
    <xf numFmtId="3" fontId="15" fillId="8" borderId="1" xfId="0" applyNumberFormat="1" applyFont="1" applyFill="1" applyBorder="1" applyAlignment="1">
      <alignment horizontal="right" vertical="top"/>
    </xf>
    <xf numFmtId="0" fontId="8" fillId="0" borderId="5" xfId="0" applyFont="1" applyBorder="1" applyAlignment="1">
      <alignment horizontal="center"/>
    </xf>
    <xf numFmtId="0" fontId="8" fillId="0" borderId="5" xfId="0" applyFont="1" applyFill="1" applyBorder="1" applyAlignment="1">
      <alignment horizontal="center" vertical="center"/>
    </xf>
    <xf numFmtId="0" fontId="28" fillId="0" borderId="2" xfId="0" applyFont="1" applyFill="1" applyBorder="1" applyAlignment="1">
      <alignment horizontal="center" vertical="top" wrapText="1"/>
    </xf>
    <xf numFmtId="0" fontId="28" fillId="0" borderId="2" xfId="0" applyFont="1" applyFill="1" applyBorder="1" applyAlignment="1">
      <alignment vertical="top" wrapText="1"/>
    </xf>
    <xf numFmtId="0" fontId="8" fillId="0" borderId="9" xfId="0" applyFont="1" applyBorder="1" applyAlignment="1">
      <alignment horizont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3" fontId="23" fillId="4" borderId="0" xfId="0" applyNumberFormat="1" applyFont="1" applyFill="1" applyBorder="1" applyAlignment="1">
      <alignment horizontal="right" vertical="top" wrapText="1" shrinkToFit="1"/>
    </xf>
    <xf numFmtId="4" fontId="23" fillId="4" borderId="0" xfId="0" applyNumberFormat="1" applyFont="1" applyFill="1" applyBorder="1" applyAlignment="1">
      <alignment vertical="top"/>
    </xf>
    <xf numFmtId="4" fontId="61" fillId="8" borderId="0" xfId="0" applyNumberFormat="1" applyFont="1" applyFill="1" applyBorder="1" applyAlignment="1">
      <alignment vertical="center" wrapText="1"/>
    </xf>
    <xf numFmtId="4" fontId="8" fillId="0" borderId="0" xfId="0" applyNumberFormat="1" applyFont="1" applyFill="1" applyBorder="1" applyAlignment="1">
      <alignment vertical="center" wrapText="1"/>
    </xf>
    <xf numFmtId="0" fontId="61" fillId="8" borderId="5" xfId="0" applyFont="1" applyFill="1" applyBorder="1" applyAlignment="1">
      <alignment vertical="top" wrapText="1" shrinkToFit="1"/>
    </xf>
    <xf numFmtId="0" fontId="61" fillId="8" borderId="8" xfId="0" applyFont="1" applyFill="1" applyBorder="1" applyAlignment="1">
      <alignment vertical="top" wrapText="1" shrinkToFit="1"/>
    </xf>
    <xf numFmtId="0" fontId="13" fillId="0" borderId="0" xfId="0" applyFont="1" applyFill="1" applyBorder="1" applyAlignment="1">
      <alignment horizontal="justify" vertical="center" wrapText="1"/>
    </xf>
    <xf numFmtId="2" fontId="0" fillId="0" borderId="0" xfId="0" applyNumberFormat="1" applyFont="1"/>
    <xf numFmtId="3" fontId="23" fillId="4" borderId="10" xfId="0" applyNumberFormat="1" applyFont="1" applyFill="1" applyBorder="1" applyAlignment="1">
      <alignment vertical="top"/>
    </xf>
    <xf numFmtId="0" fontId="15" fillId="0" borderId="3" xfId="0" applyFont="1" applyFill="1" applyBorder="1" applyAlignment="1">
      <alignment vertical="top" wrapText="1"/>
    </xf>
    <xf numFmtId="3" fontId="24" fillId="0" borderId="3" xfId="0" applyNumberFormat="1" applyFont="1" applyFill="1" applyBorder="1" applyAlignment="1">
      <alignment horizontal="right" vertical="top"/>
    </xf>
    <xf numFmtId="0" fontId="33" fillId="0" borderId="3" xfId="6" applyFont="1" applyFill="1" applyBorder="1" applyAlignment="1">
      <alignment vertical="top" wrapText="1"/>
    </xf>
    <xf numFmtId="3" fontId="23" fillId="4" borderId="3" xfId="0" applyNumberFormat="1" applyFont="1" applyFill="1" applyBorder="1" applyAlignment="1">
      <alignment vertical="top"/>
    </xf>
    <xf numFmtId="0" fontId="33" fillId="0" borderId="9" xfId="0" applyFont="1" applyFill="1" applyBorder="1" applyAlignment="1">
      <alignment vertical="center" wrapText="1"/>
    </xf>
    <xf numFmtId="0" fontId="33" fillId="0" borderId="3" xfId="0" applyFont="1" applyFill="1" applyBorder="1" applyAlignment="1">
      <alignment vertical="center" wrapText="1"/>
    </xf>
    <xf numFmtId="4" fontId="23" fillId="4" borderId="3" xfId="0" applyNumberFormat="1" applyFont="1" applyFill="1" applyBorder="1" applyAlignment="1">
      <alignment vertical="top"/>
    </xf>
    <xf numFmtId="4" fontId="35" fillId="4" borderId="3" xfId="0" applyNumberFormat="1" applyFont="1" applyFill="1" applyBorder="1" applyAlignment="1">
      <alignment vertical="top"/>
    </xf>
    <xf numFmtId="4" fontId="33" fillId="0" borderId="3" xfId="0" applyNumberFormat="1" applyFont="1" applyFill="1" applyBorder="1" applyAlignment="1">
      <alignment vertical="top"/>
    </xf>
    <xf numFmtId="0" fontId="15" fillId="0" borderId="3" xfId="0" applyFont="1" applyFill="1" applyBorder="1" applyAlignment="1">
      <alignment vertical="top" wrapText="1" shrinkToFit="1"/>
    </xf>
    <xf numFmtId="0" fontId="24" fillId="0" borderId="3" xfId="0" applyFont="1" applyFill="1" applyBorder="1" applyAlignment="1">
      <alignment horizontal="left" vertical="top" wrapText="1" shrinkToFit="1"/>
    </xf>
    <xf numFmtId="3" fontId="15" fillId="0" borderId="6" xfId="0" applyNumberFormat="1" applyFont="1" applyFill="1" applyBorder="1" applyAlignment="1">
      <alignment vertical="top" wrapText="1"/>
    </xf>
    <xf numFmtId="0" fontId="24" fillId="0" borderId="3" xfId="0" applyFont="1" applyFill="1" applyBorder="1" applyAlignment="1">
      <alignment vertical="top" wrapText="1" shrinkToFit="1"/>
    </xf>
    <xf numFmtId="2" fontId="15" fillId="0" borderId="3" xfId="0" applyNumberFormat="1" applyFont="1" applyFill="1" applyBorder="1" applyAlignment="1">
      <alignment vertical="top"/>
    </xf>
    <xf numFmtId="0" fontId="15" fillId="0" borderId="3" xfId="6" applyFont="1" applyFill="1" applyBorder="1" applyAlignment="1">
      <alignment vertical="top" wrapText="1"/>
    </xf>
    <xf numFmtId="0" fontId="33" fillId="0" borderId="3"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15" fillId="0" borderId="1" xfId="5" applyFont="1" applyBorder="1" applyAlignment="1">
      <alignment horizontal="center" vertical="top" wrapText="1"/>
    </xf>
    <xf numFmtId="49" fontId="18" fillId="0" borderId="1" xfId="0" applyNumberFormat="1" applyFont="1" applyFill="1" applyBorder="1" applyAlignment="1">
      <alignment horizontal="center" vertical="top"/>
    </xf>
    <xf numFmtId="0" fontId="18" fillId="0" borderId="1" xfId="0" applyFont="1" applyFill="1" applyBorder="1" applyAlignment="1">
      <alignment horizontal="center" vertical="top"/>
    </xf>
    <xf numFmtId="0" fontId="15" fillId="0" borderId="3" xfId="0" applyFont="1" applyFill="1" applyBorder="1" applyAlignment="1">
      <alignment horizontal="center" vertical="top" wrapText="1"/>
    </xf>
    <xf numFmtId="0" fontId="19" fillId="0" borderId="0" xfId="0" applyFont="1" applyFill="1" applyAlignment="1">
      <alignment vertical="top"/>
    </xf>
    <xf numFmtId="4" fontId="35" fillId="4" borderId="1" xfId="0" applyNumberFormat="1" applyFont="1" applyFill="1" applyBorder="1" applyAlignment="1">
      <alignment horizontal="center" vertical="top"/>
    </xf>
    <xf numFmtId="4" fontId="35" fillId="4" borderId="3" xfId="0" applyNumberFormat="1" applyFont="1" applyFill="1" applyBorder="1" applyAlignment="1">
      <alignment horizontal="center" vertical="top"/>
    </xf>
    <xf numFmtId="49" fontId="102" fillId="0" borderId="0" xfId="0" applyNumberFormat="1" applyFont="1" applyFill="1"/>
    <xf numFmtId="0" fontId="102" fillId="0" borderId="0" xfId="0" applyFont="1" applyFill="1"/>
    <xf numFmtId="0" fontId="103" fillId="0" borderId="0" xfId="0" applyFont="1" applyFill="1"/>
    <xf numFmtId="0" fontId="102" fillId="0" borderId="0" xfId="0" applyFont="1" applyFill="1" applyAlignment="1"/>
    <xf numFmtId="0" fontId="103" fillId="0" borderId="0" xfId="0" applyFont="1" applyFill="1" applyBorder="1"/>
    <xf numFmtId="0" fontId="102" fillId="0" borderId="0" xfId="0" applyFont="1" applyFill="1" applyAlignment="1">
      <alignment horizontal="center"/>
    </xf>
    <xf numFmtId="49" fontId="102" fillId="0" borderId="0" xfId="0" applyNumberFormat="1" applyFont="1" applyFill="1" applyBorder="1"/>
    <xf numFmtId="0" fontId="102" fillId="0" borderId="0" xfId="0" applyFont="1" applyFill="1" applyBorder="1"/>
    <xf numFmtId="0" fontId="104" fillId="0" borderId="0" xfId="5" applyFont="1" applyAlignment="1">
      <alignment horizontal="right"/>
    </xf>
    <xf numFmtId="0" fontId="103" fillId="0" borderId="9" xfId="0" applyFont="1" applyFill="1" applyBorder="1"/>
    <xf numFmtId="0" fontId="103" fillId="0" borderId="1" xfId="0" applyFont="1" applyFill="1" applyBorder="1"/>
    <xf numFmtId="0" fontId="102" fillId="0" borderId="3" xfId="0" applyFont="1" applyFill="1" applyBorder="1" applyAlignment="1">
      <alignment vertical="top"/>
    </xf>
    <xf numFmtId="0" fontId="102" fillId="0" borderId="4" xfId="0" applyFont="1" applyFill="1" applyBorder="1" applyAlignment="1">
      <alignment vertical="top"/>
    </xf>
    <xf numFmtId="0" fontId="104" fillId="0" borderId="11" xfId="0" applyFont="1" applyFill="1" applyBorder="1" applyAlignment="1">
      <alignment horizontal="center" vertical="top" wrapText="1"/>
    </xf>
    <xf numFmtId="4" fontId="105" fillId="4" borderId="2" xfId="0" applyNumberFormat="1" applyFont="1" applyFill="1" applyBorder="1" applyAlignment="1">
      <alignment horizontal="right" vertical="top"/>
    </xf>
    <xf numFmtId="3" fontId="106" fillId="4" borderId="0" xfId="0" applyNumberFormat="1" applyFont="1" applyFill="1" applyBorder="1"/>
    <xf numFmtId="4" fontId="106" fillId="4" borderId="0" xfId="0" applyNumberFormat="1" applyFont="1" applyFill="1" applyBorder="1"/>
    <xf numFmtId="0" fontId="106" fillId="4" borderId="0" xfId="0" applyFont="1" applyFill="1" applyBorder="1"/>
    <xf numFmtId="3" fontId="107" fillId="0" borderId="1" xfId="0" applyNumberFormat="1" applyFont="1" applyFill="1" applyBorder="1" applyAlignment="1">
      <alignment vertical="top"/>
    </xf>
    <xf numFmtId="0" fontId="108" fillId="0" borderId="0" xfId="0" applyFont="1" applyFill="1" applyBorder="1"/>
    <xf numFmtId="49" fontId="107" fillId="0" borderId="1" xfId="0" applyNumberFormat="1" applyFont="1" applyFill="1" applyBorder="1" applyAlignment="1">
      <alignment horizontal="center" vertical="top"/>
    </xf>
    <xf numFmtId="0" fontId="107" fillId="0" borderId="1" xfId="0" applyFont="1" applyBorder="1" applyAlignment="1">
      <alignment vertical="top" wrapText="1"/>
    </xf>
    <xf numFmtId="49" fontId="109" fillId="0" borderId="1" xfId="0" applyNumberFormat="1" applyFont="1" applyFill="1" applyBorder="1" applyAlignment="1">
      <alignment horizontal="center" vertical="top"/>
    </xf>
    <xf numFmtId="0" fontId="109" fillId="0" borderId="1" xfId="0" applyFont="1" applyFill="1" applyBorder="1" applyAlignment="1">
      <alignment horizontal="left" vertical="top" wrapText="1" shrinkToFit="1"/>
    </xf>
    <xf numFmtId="3" fontId="109" fillId="0" borderId="1" xfId="0" applyNumberFormat="1" applyFont="1" applyFill="1" applyBorder="1" applyAlignment="1">
      <alignment vertical="top"/>
    </xf>
    <xf numFmtId="0" fontId="107" fillId="0" borderId="1" xfId="0" applyFont="1" applyFill="1" applyBorder="1" applyAlignment="1">
      <alignment horizontal="left" vertical="top" wrapText="1" shrinkToFit="1"/>
    </xf>
    <xf numFmtId="49" fontId="105" fillId="4" borderId="1" xfId="0" applyNumberFormat="1" applyFont="1" applyFill="1" applyBorder="1" applyAlignment="1">
      <alignment horizontal="center" vertical="top" wrapText="1"/>
    </xf>
    <xf numFmtId="0" fontId="105" fillId="4" borderId="1" xfId="0" applyFont="1" applyFill="1" applyBorder="1" applyAlignment="1">
      <alignment horizontal="left" vertical="top" wrapText="1" shrinkToFit="1"/>
    </xf>
    <xf numFmtId="0" fontId="110" fillId="4" borderId="0" xfId="0" applyFont="1" applyFill="1" applyBorder="1"/>
    <xf numFmtId="3" fontId="107" fillId="0" borderId="1" xfId="0" applyNumberFormat="1" applyFont="1" applyFill="1" applyBorder="1" applyAlignment="1">
      <alignment horizontal="right" vertical="top"/>
    </xf>
    <xf numFmtId="0" fontId="108" fillId="0" borderId="0" xfId="0" applyFont="1" applyFill="1"/>
    <xf numFmtId="0" fontId="107" fillId="0" borderId="1" xfId="0" applyFont="1" applyFill="1" applyBorder="1" applyAlignment="1">
      <alignment horizontal="center" vertical="top"/>
    </xf>
    <xf numFmtId="0" fontId="107" fillId="0" borderId="1" xfId="0" applyFont="1" applyFill="1" applyBorder="1" applyAlignment="1">
      <alignment wrapText="1"/>
    </xf>
    <xf numFmtId="3" fontId="107" fillId="0" borderId="3" xfId="0" applyNumberFormat="1" applyFont="1" applyFill="1" applyBorder="1" applyAlignment="1">
      <alignment vertical="top" wrapText="1"/>
    </xf>
    <xf numFmtId="3" fontId="107" fillId="0" borderId="1" xfId="0" applyNumberFormat="1" applyFont="1" applyFill="1" applyBorder="1" applyAlignment="1">
      <alignment vertical="top" wrapText="1"/>
    </xf>
    <xf numFmtId="49" fontId="105" fillId="4" borderId="1" xfId="0" applyNumberFormat="1" applyFont="1" applyFill="1" applyBorder="1" applyAlignment="1">
      <alignment horizontal="center" vertical="top"/>
    </xf>
    <xf numFmtId="4" fontId="111" fillId="4" borderId="0" xfId="0" applyNumberFormat="1" applyFont="1" applyFill="1" applyBorder="1"/>
    <xf numFmtId="0" fontId="111" fillId="4" borderId="0" xfId="0" applyFont="1" applyFill="1" applyBorder="1"/>
    <xf numFmtId="3" fontId="112" fillId="0" borderId="1" xfId="0" applyNumberFormat="1" applyFont="1" applyFill="1" applyBorder="1" applyAlignment="1">
      <alignment vertical="top"/>
    </xf>
    <xf numFmtId="0" fontId="113" fillId="0" borderId="0" xfId="0" applyFont="1" applyFill="1" applyBorder="1"/>
    <xf numFmtId="0" fontId="114" fillId="4" borderId="0" xfId="0" applyFont="1" applyFill="1"/>
    <xf numFmtId="0" fontId="107" fillId="0" borderId="1" xfId="0" applyFont="1" applyFill="1" applyBorder="1" applyAlignment="1">
      <alignment vertical="top" wrapText="1"/>
    </xf>
    <xf numFmtId="3" fontId="105" fillId="0" borderId="1" xfId="0" applyNumberFormat="1" applyFont="1" applyFill="1" applyBorder="1" applyAlignment="1">
      <alignment vertical="top"/>
    </xf>
    <xf numFmtId="0" fontId="111" fillId="0" borderId="0" xfId="0" applyFont="1" applyFill="1" applyBorder="1"/>
    <xf numFmtId="0" fontId="114" fillId="4" borderId="0" xfId="0" applyFont="1" applyFill="1" applyBorder="1"/>
    <xf numFmtId="3" fontId="107" fillId="8" borderId="1" xfId="0" applyNumberFormat="1" applyFont="1" applyFill="1" applyBorder="1" applyAlignment="1">
      <alignment vertical="top"/>
    </xf>
    <xf numFmtId="3" fontId="112" fillId="8" borderId="1" xfId="0" applyNumberFormat="1" applyFont="1" applyFill="1" applyBorder="1" applyAlignment="1">
      <alignment vertical="top"/>
    </xf>
    <xf numFmtId="3" fontId="109" fillId="8" borderId="1" xfId="0" applyNumberFormat="1" applyFont="1" applyFill="1" applyBorder="1" applyAlignment="1">
      <alignment vertical="top"/>
    </xf>
    <xf numFmtId="0" fontId="107" fillId="0" borderId="1" xfId="0" applyFont="1" applyBorder="1" applyAlignment="1">
      <alignment wrapText="1"/>
    </xf>
    <xf numFmtId="0" fontId="111" fillId="4" borderId="0" xfId="0" applyFont="1" applyFill="1"/>
    <xf numFmtId="0" fontId="115" fillId="0" borderId="0" xfId="0" applyFont="1" applyFill="1" applyBorder="1"/>
    <xf numFmtId="0" fontId="103" fillId="4" borderId="0" xfId="0" applyFont="1" applyFill="1" applyBorder="1"/>
    <xf numFmtId="49" fontId="107" fillId="4" borderId="1" xfId="0" applyNumberFormat="1" applyFont="1" applyFill="1" applyBorder="1" applyAlignment="1">
      <alignment horizontal="center" vertical="top"/>
    </xf>
    <xf numFmtId="0" fontId="103" fillId="4" borderId="0" xfId="0" applyFont="1" applyFill="1"/>
    <xf numFmtId="3" fontId="107" fillId="0" borderId="1" xfId="0" applyNumberFormat="1" applyFont="1" applyFill="1" applyBorder="1" applyAlignment="1">
      <alignment horizontal="right" vertical="top" wrapText="1"/>
    </xf>
    <xf numFmtId="3" fontId="107" fillId="0" borderId="3" xfId="0" applyNumberFormat="1" applyFont="1" applyFill="1" applyBorder="1" applyAlignment="1">
      <alignment vertical="top"/>
    </xf>
    <xf numFmtId="0" fontId="107" fillId="0" borderId="1" xfId="0" applyFont="1" applyBorder="1" applyAlignment="1">
      <alignment horizontal="justify" vertical="top" wrapText="1"/>
    </xf>
    <xf numFmtId="49" fontId="107" fillId="0" borderId="1" xfId="0" applyNumberFormat="1" applyFont="1" applyBorder="1" applyAlignment="1">
      <alignment horizontal="center" vertical="top"/>
    </xf>
    <xf numFmtId="0" fontId="107" fillId="0" borderId="1" xfId="0" applyNumberFormat="1" applyFont="1" applyBorder="1" applyAlignment="1">
      <alignment vertical="top" wrapText="1"/>
    </xf>
    <xf numFmtId="49" fontId="105" fillId="4" borderId="1" xfId="0" applyNumberFormat="1" applyFont="1" applyFill="1" applyBorder="1" applyAlignment="1">
      <alignment horizontal="left" vertical="top"/>
    </xf>
    <xf numFmtId="49" fontId="105" fillId="0" borderId="0" xfId="0" applyNumberFormat="1" applyFont="1" applyFill="1" applyBorder="1" applyAlignment="1">
      <alignment horizontal="center" vertical="top"/>
    </xf>
    <xf numFmtId="0" fontId="105" fillId="0" borderId="0" xfId="0" applyFont="1" applyFill="1" applyBorder="1" applyAlignment="1">
      <alignment horizontal="left" vertical="top"/>
    </xf>
    <xf numFmtId="4" fontId="105" fillId="0" borderId="0" xfId="0" applyNumberFormat="1" applyFont="1" applyFill="1" applyBorder="1" applyAlignment="1">
      <alignment horizontal="right" vertical="top"/>
    </xf>
    <xf numFmtId="3" fontId="105" fillId="0" borderId="0" xfId="0" applyNumberFormat="1" applyFont="1" applyFill="1" applyBorder="1" applyAlignment="1">
      <alignment horizontal="right" vertical="top"/>
    </xf>
    <xf numFmtId="4" fontId="111" fillId="0" borderId="0" xfId="0" applyNumberFormat="1" applyFont="1" applyFill="1" applyBorder="1"/>
    <xf numFmtId="3" fontId="108" fillId="0" borderId="0" xfId="0" applyNumberFormat="1" applyFont="1" applyFill="1" applyBorder="1"/>
    <xf numFmtId="3" fontId="116" fillId="0" borderId="0" xfId="0" applyNumberFormat="1" applyFont="1" applyBorder="1"/>
    <xf numFmtId="0" fontId="117" fillId="0" borderId="0" xfId="0" applyFont="1" applyBorder="1" applyAlignment="1">
      <alignment horizontal="left"/>
    </xf>
    <xf numFmtId="0" fontId="117" fillId="0" borderId="0" xfId="0" applyFont="1" applyBorder="1"/>
    <xf numFmtId="0" fontId="118" fillId="0" borderId="0" xfId="0" applyFont="1" applyFill="1" applyAlignment="1">
      <alignment horizontal="left"/>
    </xf>
    <xf numFmtId="49" fontId="114" fillId="5" borderId="0" xfId="0" applyNumberFormat="1" applyFont="1" applyFill="1"/>
    <xf numFmtId="0" fontId="114" fillId="5" borderId="0" xfId="0" applyFont="1" applyFill="1"/>
    <xf numFmtId="4" fontId="114" fillId="5" borderId="0" xfId="0" applyNumberFormat="1" applyFont="1" applyFill="1"/>
    <xf numFmtId="0" fontId="114" fillId="5" borderId="0" xfId="0" applyFont="1" applyFill="1" applyBorder="1"/>
    <xf numFmtId="49" fontId="103" fillId="0" borderId="0" xfId="0" applyNumberFormat="1" applyFont="1" applyFill="1"/>
    <xf numFmtId="0" fontId="103" fillId="3" borderId="0" xfId="0" applyFont="1" applyFill="1"/>
    <xf numFmtId="3" fontId="15" fillId="0" borderId="1" xfId="0"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3" fontId="15" fillId="0" borderId="1" xfId="0" applyNumberFormat="1" applyFont="1" applyFill="1" applyBorder="1" applyAlignment="1">
      <alignment horizontal="right" vertical="center" wrapText="1"/>
    </xf>
    <xf numFmtId="3" fontId="33" fillId="0" borderId="1" xfId="0" applyNumberFormat="1" applyFont="1" applyFill="1" applyBorder="1" applyAlignment="1">
      <alignment horizontal="right" vertical="center"/>
    </xf>
    <xf numFmtId="3" fontId="24" fillId="0" borderId="1" xfId="0" applyNumberFormat="1" applyFont="1" applyFill="1" applyBorder="1" applyAlignment="1">
      <alignment horizontal="right" vertical="center" wrapText="1"/>
    </xf>
    <xf numFmtId="3" fontId="23" fillId="0" borderId="1" xfId="0" applyNumberFormat="1" applyFont="1" applyFill="1" applyBorder="1" applyAlignment="1">
      <alignment horizontal="right" vertical="center"/>
    </xf>
    <xf numFmtId="3" fontId="15" fillId="0" borderId="5" xfId="0" applyNumberFormat="1" applyFont="1" applyFill="1" applyBorder="1" applyAlignment="1">
      <alignment horizontal="right" vertical="center" wrapText="1"/>
    </xf>
    <xf numFmtId="0" fontId="0" fillId="8" borderId="0" xfId="0" applyFont="1" applyFill="1"/>
    <xf numFmtId="0" fontId="15" fillId="0" borderId="3" xfId="0" applyFont="1" applyFill="1" applyBorder="1" applyAlignment="1">
      <alignment horizontal="left" vertical="top" wrapText="1" shrinkToFit="1"/>
    </xf>
    <xf numFmtId="49" fontId="15" fillId="0" borderId="3" xfId="0" applyNumberFormat="1" applyFont="1" applyFill="1" applyBorder="1" applyAlignment="1">
      <alignment horizontal="center" vertical="top"/>
    </xf>
    <xf numFmtId="49" fontId="15" fillId="0" borderId="1" xfId="0" applyNumberFormat="1" applyFont="1" applyFill="1" applyBorder="1" applyAlignment="1">
      <alignment horizontal="center" vertical="top" wrapText="1"/>
    </xf>
    <xf numFmtId="0" fontId="15" fillId="8" borderId="1" xfId="0" applyFont="1" applyFill="1" applyBorder="1" applyAlignment="1">
      <alignment horizontal="left" vertical="top" wrapText="1" shrinkToFit="1"/>
    </xf>
    <xf numFmtId="0" fontId="15" fillId="0" borderId="1" xfId="0" applyFont="1" applyBorder="1" applyAlignment="1">
      <alignment wrapText="1"/>
    </xf>
    <xf numFmtId="3" fontId="15" fillId="0" borderId="1" xfId="0" applyNumberFormat="1" applyFont="1" applyBorder="1" applyAlignment="1">
      <alignment horizontal="right" vertical="center" wrapText="1"/>
    </xf>
    <xf numFmtId="0" fontId="0" fillId="0" borderId="0" xfId="0" applyFont="1" applyFill="1" applyAlignment="1">
      <alignment horizontal="right"/>
    </xf>
    <xf numFmtId="3" fontId="103" fillId="0" borderId="0" xfId="0" applyNumberFormat="1" applyFont="1"/>
    <xf numFmtId="4" fontId="119" fillId="0" borderId="0" xfId="5" applyNumberFormat="1" applyFont="1"/>
    <xf numFmtId="3" fontId="106" fillId="0" borderId="0" xfId="0" applyNumberFormat="1" applyFont="1" applyFill="1" applyBorder="1"/>
    <xf numFmtId="4" fontId="112" fillId="0" borderId="1" xfId="0" applyNumberFormat="1" applyFont="1" applyFill="1" applyBorder="1" applyAlignment="1">
      <alignment vertical="top"/>
    </xf>
    <xf numFmtId="4" fontId="24" fillId="0" borderId="1" xfId="0" applyNumberFormat="1" applyFont="1" applyFill="1" applyBorder="1" applyAlignment="1">
      <alignment vertical="top"/>
    </xf>
    <xf numFmtId="4" fontId="15" fillId="0" borderId="1" xfId="0" applyNumberFormat="1" applyFont="1" applyFill="1" applyBorder="1" applyAlignment="1">
      <alignment vertical="top" wrapText="1"/>
    </xf>
    <xf numFmtId="4" fontId="24" fillId="0" borderId="1" xfId="0" applyNumberFormat="1" applyFont="1" applyFill="1" applyBorder="1" applyAlignment="1">
      <alignment horizontal="right" vertical="center" wrapText="1"/>
    </xf>
    <xf numFmtId="49" fontId="8" fillId="0" borderId="1" xfId="9" applyNumberFormat="1" applyFont="1" applyFill="1" applyBorder="1" applyAlignment="1">
      <alignment horizontal="left" vertical="center" wrapText="1"/>
    </xf>
    <xf numFmtId="4" fontId="8" fillId="8" borderId="1" xfId="0" applyNumberFormat="1" applyFont="1" applyFill="1" applyBorder="1" applyAlignment="1">
      <alignment horizontal="right" vertical="center" wrapText="1"/>
    </xf>
    <xf numFmtId="0" fontId="105" fillId="4" borderId="1" xfId="0" applyFont="1" applyFill="1" applyBorder="1" applyAlignment="1">
      <alignment vertical="top" wrapText="1" shrinkToFit="1"/>
    </xf>
    <xf numFmtId="3" fontId="107" fillId="8" borderId="1" xfId="0" applyNumberFormat="1" applyFont="1" applyFill="1" applyBorder="1" applyAlignment="1">
      <alignment vertical="top" wrapText="1"/>
    </xf>
    <xf numFmtId="3" fontId="109" fillId="8" borderId="1" xfId="0" applyNumberFormat="1" applyFont="1" applyFill="1" applyBorder="1" applyAlignment="1">
      <alignment vertical="top" wrapText="1"/>
    </xf>
    <xf numFmtId="3" fontId="24" fillId="8" borderId="1" xfId="0" applyNumberFormat="1" applyFont="1" applyFill="1" applyBorder="1" applyAlignment="1">
      <alignment vertical="top" wrapText="1"/>
    </xf>
    <xf numFmtId="3" fontId="15" fillId="8" borderId="1" xfId="0" applyNumberFormat="1" applyFont="1" applyFill="1" applyBorder="1" applyAlignment="1">
      <alignment vertical="top" wrapText="1"/>
    </xf>
    <xf numFmtId="3" fontId="24" fillId="8" borderId="3" xfId="0" applyNumberFormat="1" applyFont="1" applyFill="1" applyBorder="1" applyAlignment="1">
      <alignment vertical="top" wrapText="1"/>
    </xf>
    <xf numFmtId="49" fontId="13" fillId="4" borderId="1" xfId="0" applyNumberFormat="1" applyFont="1" applyFill="1" applyBorder="1" applyAlignment="1">
      <alignment horizontal="center" vertical="top"/>
    </xf>
    <xf numFmtId="0" fontId="13" fillId="4" borderId="1" xfId="0" applyFont="1" applyFill="1" applyBorder="1" applyAlignment="1">
      <alignment horizontal="left" vertical="top" wrapText="1" shrinkToFit="1"/>
    </xf>
    <xf numFmtId="0" fontId="8" fillId="8" borderId="1" xfId="0" applyFont="1" applyFill="1" applyBorder="1" applyAlignment="1">
      <alignment horizontal="left" vertical="top" wrapText="1" shrinkToFit="1"/>
    </xf>
    <xf numFmtId="4" fontId="13" fillId="4" borderId="1" xfId="0" applyNumberFormat="1" applyFont="1" applyFill="1" applyBorder="1" applyAlignment="1">
      <alignment horizontal="right" vertical="top" wrapText="1" shrinkToFit="1"/>
    </xf>
    <xf numFmtId="3" fontId="13" fillId="4" borderId="1" xfId="0" applyNumberFormat="1" applyFont="1" applyFill="1" applyBorder="1" applyAlignment="1">
      <alignment horizontal="right" vertical="top" wrapText="1" shrinkToFit="1"/>
    </xf>
    <xf numFmtId="3" fontId="114" fillId="0" borderId="0" xfId="0" applyNumberFormat="1" applyFont="1"/>
    <xf numFmtId="0" fontId="12" fillId="8" borderId="0" xfId="0" applyFont="1" applyFill="1"/>
    <xf numFmtId="0" fontId="8" fillId="0" borderId="1" xfId="0" applyFont="1" applyFill="1" applyBorder="1" applyAlignment="1">
      <alignment horizontal="center" vertical="top" wrapText="1" shrinkToFit="1"/>
    </xf>
    <xf numFmtId="3" fontId="8" fillId="0" borderId="1" xfId="0" applyNumberFormat="1" applyFont="1" applyFill="1" applyBorder="1" applyAlignment="1">
      <alignment horizontal="right" vertical="top" wrapText="1" shrinkToFit="1"/>
    </xf>
    <xf numFmtId="3" fontId="15" fillId="0" borderId="0" xfId="0" applyNumberFormat="1" applyFont="1" applyFill="1" applyBorder="1" applyAlignment="1">
      <alignment horizontal="right" vertical="top" wrapText="1" shrinkToFit="1"/>
    </xf>
    <xf numFmtId="4" fontId="8" fillId="8" borderId="1" xfId="0" applyNumberFormat="1" applyFont="1" applyFill="1" applyBorder="1" applyAlignment="1">
      <alignment vertical="center" wrapText="1"/>
    </xf>
    <xf numFmtId="0" fontId="15" fillId="0" borderId="17" xfId="0" applyFont="1" applyBorder="1" applyAlignment="1">
      <alignment horizontal="center" vertical="center" wrapText="1"/>
    </xf>
    <xf numFmtId="0" fontId="15" fillId="0" borderId="17" xfId="0" applyFont="1" applyBorder="1" applyAlignment="1">
      <alignment vertical="center" wrapText="1"/>
    </xf>
    <xf numFmtId="0" fontId="15" fillId="0" borderId="17" xfId="0" applyFont="1" applyBorder="1" applyAlignment="1">
      <alignment horizontal="justify" vertical="center" wrapText="1"/>
    </xf>
    <xf numFmtId="4" fontId="24" fillId="0" borderId="1" xfId="0" applyNumberFormat="1" applyFont="1" applyFill="1" applyBorder="1" applyAlignment="1">
      <alignment horizontal="right" vertical="top"/>
    </xf>
    <xf numFmtId="4" fontId="25" fillId="0" borderId="3" xfId="0" applyNumberFormat="1" applyFont="1" applyFill="1" applyBorder="1" applyAlignment="1">
      <alignment horizontal="right" vertical="top"/>
    </xf>
    <xf numFmtId="4" fontId="25" fillId="0" borderId="1" xfId="0" applyNumberFormat="1" applyFont="1" applyFill="1" applyBorder="1" applyAlignment="1">
      <alignment horizontal="right" vertical="top"/>
    </xf>
    <xf numFmtId="4" fontId="15" fillId="0" borderId="1" xfId="0" applyNumberFormat="1" applyFont="1" applyFill="1" applyBorder="1" applyAlignment="1">
      <alignment horizontal="right" vertical="top" wrapText="1"/>
    </xf>
    <xf numFmtId="4" fontId="107" fillId="0" borderId="1" xfId="0" applyNumberFormat="1" applyFont="1" applyFill="1" applyBorder="1" applyAlignment="1">
      <alignment vertical="top"/>
    </xf>
    <xf numFmtId="4" fontId="107" fillId="0" borderId="1" xfId="0" applyNumberFormat="1" applyFont="1" applyFill="1" applyBorder="1" applyAlignment="1">
      <alignment horizontal="right" vertical="top"/>
    </xf>
    <xf numFmtId="4" fontId="107" fillId="0" borderId="1" xfId="0" applyNumberFormat="1" applyFont="1" applyFill="1" applyBorder="1" applyAlignment="1">
      <alignment vertical="top" wrapText="1"/>
    </xf>
    <xf numFmtId="0" fontId="15" fillId="0" borderId="0" xfId="0" applyFont="1" applyFill="1" applyBorder="1" applyAlignment="1">
      <alignment horizontal="left" vertical="top" wrapText="1" shrinkToFit="1"/>
    </xf>
    <xf numFmtId="3" fontId="120" fillId="10" borderId="0" xfId="0" applyNumberFormat="1" applyFont="1" applyFill="1" applyBorder="1"/>
    <xf numFmtId="0" fontId="33" fillId="0" borderId="12" xfId="0" applyFont="1" applyFill="1" applyBorder="1" applyAlignment="1">
      <alignment vertical="center" wrapText="1"/>
    </xf>
    <xf numFmtId="0" fontId="33" fillId="0" borderId="13" xfId="0" applyFont="1" applyFill="1" applyBorder="1" applyAlignment="1">
      <alignment vertical="center" wrapText="1"/>
    </xf>
    <xf numFmtId="3" fontId="15" fillId="0" borderId="5" xfId="0" applyNumberFormat="1" applyFont="1" applyFill="1" applyBorder="1" applyAlignment="1">
      <alignment horizontal="right" vertical="center"/>
    </xf>
    <xf numFmtId="49" fontId="15" fillId="0" borderId="1" xfId="0" applyNumberFormat="1" applyFont="1" applyBorder="1" applyAlignment="1">
      <alignment horizontal="center" vertical="top" wrapText="1"/>
    </xf>
    <xf numFmtId="4" fontId="121" fillId="4" borderId="0" xfId="0" applyNumberFormat="1" applyFont="1" applyFill="1" applyBorder="1" applyAlignment="1">
      <alignment vertical="top"/>
    </xf>
    <xf numFmtId="4" fontId="59" fillId="5" borderId="0" xfId="0" applyNumberFormat="1" applyFont="1" applyFill="1"/>
    <xf numFmtId="0" fontId="117" fillId="8" borderId="0" xfId="0" applyFont="1" applyFill="1" applyAlignment="1"/>
    <xf numFmtId="0" fontId="117" fillId="0" borderId="0" xfId="0" applyFont="1" applyFill="1"/>
    <xf numFmtId="0" fontId="117" fillId="8" borderId="1" xfId="0" applyFont="1" applyFill="1" applyBorder="1" applyAlignment="1">
      <alignment horizontal="center" vertical="top" wrapText="1"/>
    </xf>
    <xf numFmtId="0" fontId="117" fillId="0" borderId="1" xfId="0" applyFont="1" applyFill="1" applyBorder="1" applyAlignment="1">
      <alignment horizontal="center" vertical="top" wrapText="1"/>
    </xf>
    <xf numFmtId="0" fontId="117" fillId="0" borderId="1" xfId="0" applyFont="1" applyFill="1" applyBorder="1" applyAlignment="1">
      <alignment horizontal="left" vertical="center" wrapText="1"/>
    </xf>
    <xf numFmtId="0" fontId="117" fillId="0" borderId="1" xfId="10" applyFont="1" applyFill="1" applyBorder="1" applyAlignment="1">
      <alignment horizontal="left" vertical="center" wrapText="1"/>
    </xf>
    <xf numFmtId="3" fontId="0" fillId="0" borderId="0" xfId="0" applyNumberFormat="1" applyFont="1"/>
    <xf numFmtId="4" fontId="8" fillId="8" borderId="1" xfId="0" applyNumberFormat="1" applyFont="1" applyFill="1" applyBorder="1" applyAlignment="1">
      <alignment horizontal="center" vertical="center" wrapText="1"/>
    </xf>
    <xf numFmtId="4" fontId="13" fillId="11" borderId="0" xfId="0" applyNumberFormat="1" applyFont="1" applyFill="1" applyBorder="1" applyAlignment="1">
      <alignment horizontal="center" vertical="center" wrapText="1"/>
    </xf>
    <xf numFmtId="3" fontId="119" fillId="0" borderId="0" xfId="0" applyNumberFormat="1" applyFont="1"/>
    <xf numFmtId="0" fontId="119" fillId="0" borderId="0" xfId="0" applyFont="1"/>
    <xf numFmtId="4" fontId="20" fillId="0" borderId="0" xfId="0" applyNumberFormat="1" applyFont="1" applyFill="1"/>
    <xf numFmtId="3" fontId="20" fillId="0" borderId="0" xfId="0" applyNumberFormat="1" applyFont="1" applyFill="1"/>
    <xf numFmtId="0" fontId="20" fillId="0" borderId="0" xfId="0" applyFont="1" applyFill="1"/>
    <xf numFmtId="3" fontId="19" fillId="0" borderId="0" xfId="0" applyNumberFormat="1" applyFont="1" applyFill="1" applyAlignment="1">
      <alignment vertical="top"/>
    </xf>
    <xf numFmtId="186" fontId="117" fillId="9" borderId="0" xfId="0" applyNumberFormat="1" applyFont="1" applyFill="1"/>
    <xf numFmtId="0" fontId="117" fillId="9" borderId="0" xfId="0" applyFont="1" applyFill="1"/>
    <xf numFmtId="0" fontId="10" fillId="0" borderId="0" xfId="5" applyFont="1" applyAlignment="1">
      <alignment horizontal="center"/>
    </xf>
    <xf numFmtId="0" fontId="122" fillId="0" borderId="0" xfId="0" applyFont="1" applyFill="1" applyAlignment="1">
      <alignment horizontal="center" wrapText="1"/>
    </xf>
    <xf numFmtId="0" fontId="13" fillId="2" borderId="0" xfId="0" applyFont="1" applyFill="1" applyAlignment="1">
      <alignment horizontal="center" wrapText="1"/>
    </xf>
    <xf numFmtId="49" fontId="75" fillId="0" borderId="0" xfId="5" applyNumberFormat="1" applyFont="1" applyAlignment="1">
      <alignment horizontal="left"/>
    </xf>
    <xf numFmtId="0" fontId="13" fillId="0" borderId="0" xfId="5" applyFont="1" applyAlignment="1">
      <alignment horizontal="left"/>
    </xf>
    <xf numFmtId="4" fontId="123" fillId="4" borderId="0" xfId="0" applyNumberFormat="1" applyFont="1" applyFill="1" applyBorder="1"/>
    <xf numFmtId="3" fontId="124" fillId="4" borderId="0" xfId="0" applyNumberFormat="1" applyFont="1" applyFill="1" applyBorder="1"/>
    <xf numFmtId="0" fontId="123" fillId="4" borderId="0" xfId="0" applyFont="1" applyFill="1" applyBorder="1"/>
    <xf numFmtId="3" fontId="8" fillId="8" borderId="1" xfId="0" applyNumberFormat="1" applyFont="1" applyFill="1" applyBorder="1" applyAlignment="1">
      <alignment horizontal="center" vertical="center" wrapText="1"/>
    </xf>
    <xf numFmtId="0" fontId="79" fillId="0" borderId="0" xfId="0" applyFont="1" applyAlignment="1"/>
    <xf numFmtId="0" fontId="79" fillId="0" borderId="0" xfId="0" applyFont="1" applyAlignment="1">
      <alignment horizontal="center"/>
    </xf>
    <xf numFmtId="0" fontId="20" fillId="0" borderId="0" xfId="0" applyFont="1" applyAlignment="1">
      <alignment wrapText="1"/>
    </xf>
    <xf numFmtId="0" fontId="8" fillId="0" borderId="0" xfId="5" applyFont="1" applyAlignment="1">
      <alignment horizontal="right"/>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9" fillId="4" borderId="1" xfId="0" applyFont="1" applyFill="1" applyBorder="1" applyAlignment="1">
      <alignment horizontal="left" vertical="top" wrapText="1" shrinkToFit="1"/>
    </xf>
    <xf numFmtId="3" fontId="13" fillId="4" borderId="0" xfId="0" applyNumberFormat="1" applyFont="1" applyFill="1" applyBorder="1" applyAlignment="1">
      <alignment vertical="top"/>
    </xf>
    <xf numFmtId="3" fontId="80" fillId="0" borderId="0" xfId="0" applyNumberFormat="1" applyFont="1"/>
    <xf numFmtId="0" fontId="80" fillId="0" borderId="0" xfId="0" applyFont="1"/>
    <xf numFmtId="3" fontId="20" fillId="0" borderId="0" xfId="0" applyNumberFormat="1" applyFont="1"/>
    <xf numFmtId="4" fontId="13" fillId="4" borderId="0" xfId="0" applyNumberFormat="1" applyFont="1" applyFill="1" applyBorder="1" applyAlignment="1">
      <alignment vertical="top"/>
    </xf>
    <xf numFmtId="4" fontId="80" fillId="0" borderId="0" xfId="0" applyNumberFormat="1" applyFont="1"/>
    <xf numFmtId="3" fontId="125" fillId="0" borderId="0" xfId="0" applyNumberFormat="1" applyFont="1"/>
    <xf numFmtId="0" fontId="80" fillId="0" borderId="0" xfId="0" applyFont="1" applyAlignment="1">
      <alignment horizontal="center"/>
    </xf>
    <xf numFmtId="0" fontId="61" fillId="0" borderId="0" xfId="0" applyFont="1" applyFill="1" applyBorder="1" applyAlignment="1">
      <alignment vertical="top"/>
    </xf>
    <xf numFmtId="4" fontId="20" fillId="0" borderId="0" xfId="0" applyNumberFormat="1" applyFont="1"/>
    <xf numFmtId="0" fontId="77" fillId="0" borderId="1" xfId="6" applyFont="1" applyFill="1" applyBorder="1" applyAlignment="1">
      <alignment vertical="center" wrapText="1"/>
    </xf>
    <xf numFmtId="0" fontId="33" fillId="2" borderId="3" xfId="6" applyFont="1" applyFill="1" applyBorder="1" applyAlignment="1">
      <alignment vertical="center" wrapText="1"/>
    </xf>
    <xf numFmtId="0" fontId="33" fillId="2" borderId="1" xfId="6" applyFont="1" applyFill="1" applyBorder="1" applyAlignment="1">
      <alignment vertical="center" wrapText="1"/>
    </xf>
    <xf numFmtId="0" fontId="15" fillId="2" borderId="3" xfId="0" applyFont="1" applyFill="1" applyBorder="1" applyAlignment="1">
      <alignment vertical="top" wrapText="1" shrinkToFit="1"/>
    </xf>
    <xf numFmtId="49" fontId="22" fillId="0" borderId="1" xfId="0" applyNumberFormat="1" applyFont="1" applyFill="1" applyBorder="1" applyAlignment="1">
      <alignment horizontal="center" vertical="top"/>
    </xf>
    <xf numFmtId="0" fontId="22" fillId="0" borderId="1" xfId="0" applyFont="1" applyFill="1" applyBorder="1" applyAlignment="1">
      <alignment horizontal="left" vertical="top" wrapText="1" shrinkToFit="1"/>
    </xf>
    <xf numFmtId="0" fontId="78" fillId="0" borderId="1" xfId="0" applyFont="1" applyFill="1" applyBorder="1" applyAlignment="1">
      <alignment horizontal="left" vertical="top" wrapText="1" shrinkToFit="1"/>
    </xf>
    <xf numFmtId="0" fontId="24" fillId="2" borderId="1" xfId="0" applyFont="1" applyFill="1" applyBorder="1" applyAlignment="1">
      <alignment horizontal="justify" wrapText="1"/>
    </xf>
    <xf numFmtId="0" fontId="33" fillId="2" borderId="3" xfId="6" applyFont="1" applyFill="1" applyBorder="1" applyAlignment="1">
      <alignment vertical="top" wrapText="1"/>
    </xf>
    <xf numFmtId="0" fontId="8" fillId="0" borderId="0" xfId="0" applyFont="1" applyAlignment="1">
      <alignment horizontal="center"/>
    </xf>
    <xf numFmtId="0" fontId="56" fillId="0" borderId="0" xfId="0" applyFont="1" applyAlignment="1">
      <alignment horizontal="center" wrapText="1"/>
    </xf>
    <xf numFmtId="0" fontId="126" fillId="0" borderId="0" xfId="0" applyFont="1" applyFill="1" applyAlignment="1">
      <alignment horizontal="center" wrapText="1"/>
    </xf>
    <xf numFmtId="0" fontId="56" fillId="0" borderId="0" xfId="0" applyFont="1" applyAlignment="1">
      <alignment horizontal="center"/>
    </xf>
    <xf numFmtId="49" fontId="76" fillId="0" borderId="0" xfId="5" applyNumberFormat="1" applyFont="1" applyAlignment="1">
      <alignment horizontal="left"/>
    </xf>
    <xf numFmtId="0" fontId="8" fillId="0" borderId="0" xfId="5" applyFont="1" applyAlignment="1">
      <alignment horizontal="left"/>
    </xf>
    <xf numFmtId="4" fontId="111" fillId="12" borderId="0" xfId="0" applyNumberFormat="1" applyFont="1" applyFill="1" applyBorder="1"/>
    <xf numFmtId="3" fontId="106" fillId="12" borderId="0" xfId="0" applyNumberFormat="1" applyFont="1" applyFill="1" applyBorder="1"/>
    <xf numFmtId="0" fontId="111" fillId="12" borderId="0" xfId="0" applyFont="1" applyFill="1" applyBorder="1"/>
    <xf numFmtId="3" fontId="15" fillId="8" borderId="1" xfId="0" applyNumberFormat="1" applyFont="1" applyFill="1" applyBorder="1" applyAlignment="1">
      <alignment horizontal="right" vertical="center" wrapText="1"/>
    </xf>
    <xf numFmtId="0" fontId="15" fillId="0" borderId="1" xfId="5" applyFont="1" applyFill="1" applyBorder="1" applyAlignment="1">
      <alignment horizontal="center" vertical="top"/>
    </xf>
    <xf numFmtId="4" fontId="117" fillId="0" borderId="1" xfId="9" applyNumberFormat="1" applyFont="1" applyFill="1" applyBorder="1" applyAlignment="1">
      <alignment horizontal="right" vertical="center" wrapText="1"/>
    </xf>
    <xf numFmtId="0" fontId="107" fillId="0" borderId="1" xfId="0" applyFont="1" applyBorder="1" applyAlignment="1">
      <alignment horizontal="justify" wrapText="1"/>
    </xf>
    <xf numFmtId="49" fontId="107" fillId="0" borderId="1" xfId="0" applyNumberFormat="1" applyFont="1" applyFill="1" applyBorder="1" applyAlignment="1">
      <alignment horizontal="center" vertical="top" wrapText="1"/>
    </xf>
    <xf numFmtId="3" fontId="107" fillId="8" borderId="1" xfId="0" applyNumberFormat="1" applyFont="1" applyFill="1" applyBorder="1" applyAlignment="1">
      <alignment horizontal="right" vertical="top"/>
    </xf>
    <xf numFmtId="0" fontId="111" fillId="0" borderId="0" xfId="0" applyFont="1" applyFill="1"/>
    <xf numFmtId="0" fontId="8" fillId="0" borderId="0" xfId="5" applyFont="1" applyFill="1" applyBorder="1"/>
    <xf numFmtId="0" fontId="26" fillId="0" borderId="0" xfId="5" applyFont="1" applyFill="1"/>
    <xf numFmtId="0" fontId="13" fillId="0" borderId="0" xfId="5" applyFont="1" applyFill="1" applyBorder="1"/>
    <xf numFmtId="0" fontId="15" fillId="8" borderId="1" xfId="0" applyFont="1" applyFill="1" applyBorder="1" applyAlignment="1">
      <alignment horizontal="center" vertical="top" wrapText="1"/>
    </xf>
    <xf numFmtId="4" fontId="15" fillId="0" borderId="1" xfId="0" applyNumberFormat="1" applyFont="1" applyFill="1" applyBorder="1" applyAlignment="1">
      <alignment horizontal="right" vertical="center"/>
    </xf>
    <xf numFmtId="4" fontId="33" fillId="0" borderId="1" xfId="0" applyNumberFormat="1" applyFont="1" applyFill="1" applyBorder="1" applyAlignment="1">
      <alignment vertical="top" wrapText="1"/>
    </xf>
    <xf numFmtId="0" fontId="8" fillId="8" borderId="1" xfId="8" applyFont="1" applyFill="1" applyBorder="1" applyAlignment="1">
      <alignment horizontal="left" vertical="center" wrapText="1"/>
    </xf>
    <xf numFmtId="3" fontId="15" fillId="8" borderId="1" xfId="5" applyNumberFormat="1" applyFont="1" applyFill="1" applyBorder="1"/>
    <xf numFmtId="2" fontId="99" fillId="4" borderId="1" xfId="0" applyNumberFormat="1" applyFont="1" applyFill="1" applyBorder="1" applyAlignment="1">
      <alignment horizontal="right" vertical="top" wrapText="1" shrinkToFit="1"/>
    </xf>
    <xf numFmtId="0" fontId="99" fillId="4" borderId="1" xfId="0" applyFont="1" applyFill="1" applyBorder="1" applyAlignment="1">
      <alignment horizontal="right" vertical="top" wrapText="1" shrinkToFit="1"/>
    </xf>
    <xf numFmtId="0" fontId="99" fillId="4" borderId="1" xfId="0" applyFont="1" applyFill="1" applyBorder="1" applyAlignment="1">
      <alignment horizontal="center" vertical="top" wrapText="1" shrinkToFit="1"/>
    </xf>
    <xf numFmtId="4" fontId="8" fillId="8" borderId="1" xfId="13" applyNumberFormat="1" applyFont="1" applyFill="1" applyBorder="1" applyAlignment="1">
      <alignment horizontal="center" vertical="center"/>
    </xf>
    <xf numFmtId="4" fontId="13" fillId="4" borderId="1" xfId="0" applyNumberFormat="1" applyFont="1" applyFill="1" applyBorder="1" applyAlignment="1">
      <alignment horizontal="center" vertical="top" wrapText="1" shrinkToFit="1"/>
    </xf>
    <xf numFmtId="3" fontId="8" fillId="0" borderId="0" xfId="0" applyNumberFormat="1" applyFont="1" applyBorder="1" applyAlignment="1">
      <alignment horizontal="center" vertical="center" wrapText="1"/>
    </xf>
    <xf numFmtId="49" fontId="8" fillId="8" borderId="8" xfId="0" applyNumberFormat="1" applyFont="1" applyFill="1" applyBorder="1" applyAlignment="1">
      <alignment horizontal="center" vertical="top" wrapText="1" shrinkToFit="1"/>
    </xf>
    <xf numFmtId="4" fontId="100" fillId="4" borderId="0" xfId="0" applyNumberFormat="1" applyFont="1" applyFill="1" applyBorder="1" applyAlignment="1">
      <alignment vertical="top"/>
    </xf>
    <xf numFmtId="4" fontId="117" fillId="0" borderId="1" xfId="0" applyNumberFormat="1" applyFont="1" applyFill="1" applyBorder="1" applyAlignment="1">
      <alignment horizontal="right" vertical="center"/>
    </xf>
    <xf numFmtId="4" fontId="13" fillId="0" borderId="0" xfId="0" applyNumberFormat="1" applyFont="1" applyFill="1" applyBorder="1" applyAlignment="1">
      <alignment vertical="top"/>
    </xf>
    <xf numFmtId="3" fontId="127" fillId="12" borderId="0" xfId="0" applyNumberFormat="1" applyFont="1" applyFill="1" applyBorder="1"/>
    <xf numFmtId="4" fontId="111" fillId="10" borderId="0" xfId="0" applyNumberFormat="1" applyFont="1" applyFill="1" applyBorder="1"/>
    <xf numFmtId="4" fontId="2" fillId="10" borderId="0" xfId="0" applyNumberFormat="1" applyFont="1" applyFill="1" applyBorder="1"/>
    <xf numFmtId="3" fontId="124" fillId="10" borderId="0" xfId="0" applyNumberFormat="1" applyFont="1" applyFill="1" applyBorder="1"/>
    <xf numFmtId="3" fontId="15" fillId="0" borderId="1" xfId="0" applyNumberFormat="1" applyFont="1" applyFill="1" applyBorder="1" applyAlignment="1">
      <alignment vertical="center"/>
    </xf>
    <xf numFmtId="4" fontId="8" fillId="0" borderId="0" xfId="0" applyNumberFormat="1" applyFont="1" applyBorder="1" applyAlignment="1">
      <alignment horizontal="center" vertical="center" wrapText="1"/>
    </xf>
    <xf numFmtId="0" fontId="8" fillId="8" borderId="1" xfId="0" applyFont="1" applyFill="1" applyBorder="1" applyAlignment="1">
      <alignment horizontal="center" vertical="top" wrapText="1"/>
    </xf>
    <xf numFmtId="0" fontId="8" fillId="0" borderId="17" xfId="0" applyFont="1" applyBorder="1" applyAlignment="1">
      <alignment horizontal="center" vertical="center" wrapText="1"/>
    </xf>
    <xf numFmtId="0" fontId="8" fillId="0" borderId="17" xfId="0" applyFont="1" applyBorder="1" applyAlignment="1">
      <alignment vertical="center" wrapText="1"/>
    </xf>
    <xf numFmtId="3" fontId="15" fillId="0" borderId="1" xfId="0" applyNumberFormat="1" applyFont="1" applyFill="1" applyBorder="1" applyAlignment="1">
      <alignment vertical="center" wrapText="1"/>
    </xf>
    <xf numFmtId="49" fontId="13" fillId="4" borderId="1" xfId="0" applyNumberFormat="1" applyFont="1" applyFill="1" applyBorder="1" applyAlignment="1">
      <alignment horizontal="right" vertical="top"/>
    </xf>
    <xf numFmtId="4" fontId="8" fillId="0" borderId="1" xfId="0" applyNumberFormat="1" applyFont="1" applyFill="1" applyBorder="1" applyAlignment="1">
      <alignment horizontal="right" vertical="center" wrapText="1"/>
    </xf>
    <xf numFmtId="3" fontId="57" fillId="0" borderId="1" xfId="0" applyNumberFormat="1" applyFont="1" applyFill="1" applyBorder="1" applyAlignment="1">
      <alignment vertical="top"/>
    </xf>
    <xf numFmtId="3" fontId="128" fillId="10" borderId="0" xfId="0" applyNumberFormat="1" applyFont="1" applyFill="1" applyBorder="1"/>
    <xf numFmtId="0" fontId="79" fillId="0" borderId="0" xfId="0" applyFont="1" applyFill="1" applyAlignment="1">
      <alignment horizontal="center"/>
    </xf>
    <xf numFmtId="0" fontId="8" fillId="0" borderId="0" xfId="0" applyFont="1" applyFill="1" applyAlignment="1">
      <alignment horizontal="center"/>
    </xf>
    <xf numFmtId="0" fontId="8" fillId="0" borderId="0" xfId="5" applyFont="1" applyFill="1" applyAlignment="1">
      <alignment horizontal="right"/>
    </xf>
    <xf numFmtId="4" fontId="103" fillId="0" borderId="0" xfId="0" applyNumberFormat="1" applyFont="1" applyFill="1"/>
    <xf numFmtId="2" fontId="0" fillId="0" borderId="0" xfId="0" applyNumberFormat="1" applyFont="1" applyFill="1"/>
    <xf numFmtId="2" fontId="0" fillId="0" borderId="0" xfId="0" applyNumberFormat="1" applyFont="1" applyFill="1" applyBorder="1"/>
    <xf numFmtId="2" fontId="0" fillId="0" borderId="0" xfId="0" applyNumberFormat="1" applyFill="1"/>
    <xf numFmtId="0" fontId="8" fillId="0" borderId="1" xfId="0" applyFont="1" applyFill="1" applyBorder="1" applyAlignment="1">
      <alignment vertical="top" wrapText="1" shrinkToFit="1"/>
    </xf>
    <xf numFmtId="0" fontId="8" fillId="0" borderId="1" xfId="0" applyFont="1" applyFill="1" applyBorder="1" applyAlignment="1">
      <alignment horizontal="left" vertical="top" wrapText="1" shrinkToFit="1"/>
    </xf>
    <xf numFmtId="49" fontId="8" fillId="0" borderId="1" xfId="0" applyNumberFormat="1" applyFont="1" applyFill="1" applyBorder="1" applyAlignment="1">
      <alignment horizontal="center" vertical="top"/>
    </xf>
    <xf numFmtId="4" fontId="15" fillId="0" borderId="1" xfId="0" applyNumberFormat="1" applyFont="1" applyFill="1" applyBorder="1" applyAlignment="1">
      <alignment horizontal="right" vertical="center" wrapText="1"/>
    </xf>
    <xf numFmtId="4" fontId="36" fillId="4" borderId="1" xfId="0" applyNumberFormat="1" applyFont="1" applyFill="1" applyBorder="1" applyAlignment="1">
      <alignment horizontal="right" vertical="center"/>
    </xf>
    <xf numFmtId="49" fontId="15" fillId="0" borderId="8" xfId="0" applyNumberFormat="1" applyFont="1" applyFill="1" applyBorder="1" applyAlignment="1">
      <alignment horizontal="center" vertical="top"/>
    </xf>
    <xf numFmtId="49" fontId="15" fillId="0" borderId="2" xfId="0" applyNumberFormat="1" applyFont="1" applyFill="1" applyBorder="1" applyAlignment="1">
      <alignment horizontal="center" vertical="top"/>
    </xf>
    <xf numFmtId="0" fontId="15" fillId="0" borderId="2" xfId="0" applyFont="1" applyFill="1" applyBorder="1" applyAlignment="1">
      <alignment horizontal="left" vertical="top" wrapText="1" shrinkToFit="1"/>
    </xf>
    <xf numFmtId="0" fontId="15" fillId="0" borderId="8" xfId="0" applyFont="1" applyFill="1" applyBorder="1" applyAlignment="1">
      <alignment horizontal="left" vertical="top" wrapText="1" shrinkToFit="1"/>
    </xf>
    <xf numFmtId="0" fontId="9" fillId="0" borderId="0" xfId="0" applyFont="1" applyFill="1"/>
    <xf numFmtId="4" fontId="15" fillId="0" borderId="1" xfId="0" applyNumberFormat="1" applyFont="1" applyFill="1" applyBorder="1" applyAlignment="1">
      <alignment horizontal="right"/>
    </xf>
    <xf numFmtId="4" fontId="15" fillId="0" borderId="0" xfId="0" applyNumberFormat="1" applyFont="1" applyFill="1"/>
    <xf numFmtId="4" fontId="15" fillId="0" borderId="1" xfId="0" applyNumberFormat="1" applyFont="1" applyFill="1" applyBorder="1"/>
    <xf numFmtId="49" fontId="109" fillId="0" borderId="5" xfId="0" applyNumberFormat="1" applyFont="1" applyFill="1" applyBorder="1" applyAlignment="1">
      <alignment horizontal="center" vertical="top"/>
    </xf>
    <xf numFmtId="49" fontId="129" fillId="0" borderId="5" xfId="0" applyNumberFormat="1" applyFont="1" applyFill="1" applyBorder="1" applyAlignment="1">
      <alignment horizontal="center"/>
    </xf>
    <xf numFmtId="0" fontId="129" fillId="0" borderId="5" xfId="0" applyFont="1" applyFill="1" applyBorder="1" applyAlignment="1">
      <alignment horizontal="center"/>
    </xf>
    <xf numFmtId="0" fontId="129" fillId="0" borderId="13" xfId="0" applyFont="1" applyFill="1" applyBorder="1" applyAlignment="1">
      <alignment horizontal="center"/>
    </xf>
    <xf numFmtId="3" fontId="107" fillId="0" borderId="5" xfId="0" applyNumberFormat="1" applyFont="1" applyFill="1" applyBorder="1" applyAlignment="1">
      <alignment vertical="top"/>
    </xf>
    <xf numFmtId="3" fontId="15" fillId="0" borderId="5" xfId="0" applyNumberFormat="1" applyFont="1" applyFill="1" applyBorder="1" applyAlignment="1">
      <alignment vertical="top"/>
    </xf>
    <xf numFmtId="0" fontId="24" fillId="0" borderId="5" xfId="0" applyFont="1" applyFill="1" applyBorder="1" applyAlignment="1">
      <alignment horizontal="left" vertical="top" wrapText="1" shrinkToFit="1"/>
    </xf>
    <xf numFmtId="0" fontId="15" fillId="0" borderId="5" xfId="0" applyFont="1" applyBorder="1" applyAlignment="1">
      <alignment vertical="top" wrapText="1"/>
    </xf>
    <xf numFmtId="3" fontId="107" fillId="0" borderId="5" xfId="0" applyNumberFormat="1" applyFont="1" applyFill="1" applyBorder="1" applyAlignment="1">
      <alignment horizontal="right" vertical="top"/>
    </xf>
    <xf numFmtId="4" fontId="107" fillId="0" borderId="5" xfId="0" applyNumberFormat="1" applyFont="1" applyFill="1" applyBorder="1" applyAlignment="1">
      <alignment vertical="top"/>
    </xf>
    <xf numFmtId="0" fontId="15" fillId="0" borderId="5" xfId="0" applyFont="1" applyFill="1" applyBorder="1" applyAlignment="1">
      <alignment vertical="top" wrapText="1"/>
    </xf>
    <xf numFmtId="4" fontId="24" fillId="0" borderId="5" xfId="0" applyNumberFormat="1" applyFont="1" applyFill="1" applyBorder="1" applyAlignment="1">
      <alignment vertical="top"/>
    </xf>
    <xf numFmtId="4" fontId="33" fillId="0" borderId="5" xfId="0" applyNumberFormat="1" applyFont="1" applyFill="1" applyBorder="1" applyAlignment="1">
      <alignment vertical="top"/>
    </xf>
    <xf numFmtId="4" fontId="15" fillId="0" borderId="5" xfId="0" applyNumberFormat="1" applyFont="1" applyFill="1" applyBorder="1" applyAlignment="1">
      <alignment horizontal="right" vertical="top"/>
    </xf>
    <xf numFmtId="3" fontId="23" fillId="0" borderId="5" xfId="0" applyNumberFormat="1" applyFont="1" applyFill="1" applyBorder="1" applyAlignment="1">
      <alignment vertical="top"/>
    </xf>
    <xf numFmtId="3" fontId="24" fillId="0" borderId="5" xfId="0" applyNumberFormat="1" applyFont="1" applyFill="1" applyBorder="1" applyAlignment="1">
      <alignment vertical="top"/>
    </xf>
    <xf numFmtId="3" fontId="24" fillId="0" borderId="5" xfId="0" applyNumberFormat="1" applyFont="1" applyFill="1" applyBorder="1" applyAlignment="1">
      <alignment vertical="top" wrapText="1"/>
    </xf>
    <xf numFmtId="0" fontId="24" fillId="8" borderId="5" xfId="0" applyFont="1" applyFill="1" applyBorder="1" applyAlignment="1">
      <alignment horizontal="left" vertical="top" wrapText="1" shrinkToFit="1"/>
    </xf>
    <xf numFmtId="4" fontId="24" fillId="0" borderId="5" xfId="0" applyNumberFormat="1" applyFont="1" applyFill="1" applyBorder="1" applyAlignment="1">
      <alignment horizontal="right" vertical="top"/>
    </xf>
    <xf numFmtId="4" fontId="25" fillId="0" borderId="6" xfId="0" applyNumberFormat="1" applyFont="1" applyFill="1" applyBorder="1" applyAlignment="1">
      <alignment horizontal="right" vertical="top"/>
    </xf>
    <xf numFmtId="4" fontId="25" fillId="0" borderId="5" xfId="0" applyNumberFormat="1" applyFont="1" applyFill="1" applyBorder="1" applyAlignment="1">
      <alignment horizontal="right" vertical="top"/>
    </xf>
    <xf numFmtId="3" fontId="107" fillId="0" borderId="5" xfId="0" applyNumberFormat="1" applyFont="1" applyFill="1" applyBorder="1" applyAlignment="1">
      <alignment vertical="top" wrapText="1"/>
    </xf>
    <xf numFmtId="49" fontId="107" fillId="0" borderId="5" xfId="0" applyNumberFormat="1" applyFont="1" applyBorder="1" applyAlignment="1">
      <alignment horizontal="center" vertical="top"/>
    </xf>
    <xf numFmtId="0" fontId="107" fillId="0" borderId="5" xfId="0" applyNumberFormat="1" applyFont="1" applyBorder="1" applyAlignment="1">
      <alignment vertical="top" wrapText="1"/>
    </xf>
    <xf numFmtId="4" fontId="15" fillId="0" borderId="6" xfId="0" applyNumberFormat="1" applyFont="1" applyFill="1" applyBorder="1" applyAlignment="1">
      <alignment horizontal="right" vertical="top" wrapText="1"/>
    </xf>
    <xf numFmtId="4" fontId="15" fillId="0" borderId="5" xfId="0" applyNumberFormat="1" applyFont="1" applyFill="1" applyBorder="1" applyAlignment="1">
      <alignment horizontal="right" vertical="top" wrapText="1"/>
    </xf>
    <xf numFmtId="0" fontId="15" fillId="0" borderId="18" xfId="0" applyFont="1" applyBorder="1" applyAlignment="1">
      <alignment vertical="center" wrapText="1"/>
    </xf>
    <xf numFmtId="4" fontId="15" fillId="0" borderId="5" xfId="0" applyNumberFormat="1" applyFont="1" applyFill="1" applyBorder="1" applyAlignment="1">
      <alignment vertical="top" wrapText="1"/>
    </xf>
    <xf numFmtId="3" fontId="15" fillId="8" borderId="5" xfId="0" applyNumberFormat="1" applyFont="1" applyFill="1" applyBorder="1" applyAlignment="1">
      <alignment vertical="top"/>
    </xf>
    <xf numFmtId="3" fontId="15" fillId="0" borderId="6" xfId="0" applyNumberFormat="1" applyFont="1" applyFill="1" applyBorder="1" applyAlignment="1">
      <alignment vertical="top"/>
    </xf>
    <xf numFmtId="3" fontId="130" fillId="0" borderId="5" xfId="0" applyNumberFormat="1" applyFont="1" applyFill="1" applyBorder="1" applyAlignment="1">
      <alignment vertical="top"/>
    </xf>
    <xf numFmtId="3" fontId="24" fillId="8" borderId="5" xfId="0" applyNumberFormat="1" applyFont="1" applyFill="1" applyBorder="1" applyAlignment="1">
      <alignment horizontal="right" vertical="top"/>
    </xf>
    <xf numFmtId="49" fontId="107" fillId="0" borderId="8" xfId="0" applyNumberFormat="1" applyFont="1" applyFill="1" applyBorder="1" applyAlignment="1">
      <alignment horizontal="center" vertical="top"/>
    </xf>
    <xf numFmtId="0" fontId="107" fillId="0" borderId="8" xfId="0" applyFont="1" applyBorder="1" applyAlignment="1">
      <alignment vertical="top" wrapText="1"/>
    </xf>
    <xf numFmtId="3" fontId="107" fillId="0" borderId="8" xfId="0" applyNumberFormat="1" applyFont="1" applyFill="1" applyBorder="1" applyAlignment="1">
      <alignment vertical="top"/>
    </xf>
    <xf numFmtId="3" fontId="15" fillId="0" borderId="14" xfId="0" applyNumberFormat="1" applyFont="1" applyFill="1" applyBorder="1" applyAlignment="1">
      <alignment vertical="top"/>
    </xf>
    <xf numFmtId="3" fontId="15" fillId="0" borderId="8" xfId="0" applyNumberFormat="1" applyFont="1" applyFill="1" applyBorder="1" applyAlignment="1">
      <alignment vertical="top"/>
    </xf>
    <xf numFmtId="49" fontId="24" fillId="0" borderId="8" xfId="0" applyNumberFormat="1" applyFont="1" applyFill="1" applyBorder="1" applyAlignment="1">
      <alignment horizontal="center" vertical="top"/>
    </xf>
    <xf numFmtId="0" fontId="24" fillId="0" borderId="8" xfId="0" applyFont="1" applyFill="1" applyBorder="1" applyAlignment="1">
      <alignment horizontal="left" vertical="top" wrapText="1" shrinkToFit="1"/>
    </xf>
    <xf numFmtId="3" fontId="24" fillId="0" borderId="8" xfId="0" applyNumberFormat="1" applyFont="1" applyFill="1" applyBorder="1" applyAlignment="1">
      <alignment horizontal="right" vertical="top"/>
    </xf>
    <xf numFmtId="0" fontId="15" fillId="0" borderId="8" xfId="0" applyFont="1" applyBorder="1" applyAlignment="1">
      <alignment vertical="top" wrapText="1"/>
    </xf>
    <xf numFmtId="3" fontId="15" fillId="0" borderId="8" xfId="0" applyNumberFormat="1" applyFont="1" applyFill="1" applyBorder="1" applyAlignment="1">
      <alignment horizontal="right" vertical="top"/>
    </xf>
    <xf numFmtId="49" fontId="107" fillId="0" borderId="2" xfId="0" applyNumberFormat="1" applyFont="1" applyFill="1" applyBorder="1" applyAlignment="1">
      <alignment horizontal="center" vertical="top"/>
    </xf>
    <xf numFmtId="0" fontId="24" fillId="0" borderId="2" xfId="0" applyFont="1" applyFill="1" applyBorder="1" applyAlignment="1">
      <alignment horizontal="left" vertical="top" wrapText="1" shrinkToFit="1"/>
    </xf>
    <xf numFmtId="3" fontId="107" fillId="0" borderId="2" xfId="0" applyNumberFormat="1" applyFont="1" applyFill="1" applyBorder="1" applyAlignment="1">
      <alignment vertical="top"/>
    </xf>
    <xf numFmtId="0" fontId="107" fillId="0" borderId="8" xfId="0" applyFont="1" applyFill="1" applyBorder="1" applyAlignment="1">
      <alignment horizontal="left" vertical="top" wrapText="1" shrinkToFit="1"/>
    </xf>
    <xf numFmtId="3" fontId="15" fillId="0" borderId="2" xfId="0" applyNumberFormat="1" applyFont="1" applyFill="1" applyBorder="1" applyAlignment="1">
      <alignment vertical="top"/>
    </xf>
    <xf numFmtId="4" fontId="109" fillId="0" borderId="8" xfId="0" applyNumberFormat="1" applyFont="1" applyFill="1" applyBorder="1" applyAlignment="1">
      <alignment vertical="top"/>
    </xf>
    <xf numFmtId="49" fontId="109" fillId="0" borderId="8" xfId="0" applyNumberFormat="1" applyFont="1" applyFill="1" applyBorder="1" applyAlignment="1">
      <alignment horizontal="center" vertical="top"/>
    </xf>
    <xf numFmtId="0" fontId="109" fillId="0" borderId="8" xfId="0" applyFont="1" applyFill="1" applyBorder="1" applyAlignment="1">
      <alignment horizontal="left" vertical="top" wrapText="1" shrinkToFit="1"/>
    </xf>
    <xf numFmtId="0" fontId="15" fillId="0" borderId="8" xfId="0" applyFont="1" applyFill="1" applyBorder="1" applyAlignment="1">
      <alignment vertical="top" wrapText="1"/>
    </xf>
    <xf numFmtId="3" fontId="15" fillId="0" borderId="15" xfId="0" applyNumberFormat="1" applyFont="1" applyFill="1" applyBorder="1" applyAlignment="1">
      <alignment vertical="top" wrapText="1"/>
    </xf>
    <xf numFmtId="3" fontId="15" fillId="0" borderId="8" xfId="0" applyNumberFormat="1" applyFont="1" applyFill="1" applyBorder="1" applyAlignment="1">
      <alignment vertical="top" wrapText="1"/>
    </xf>
    <xf numFmtId="49" fontId="105" fillId="12" borderId="8" xfId="0" applyNumberFormat="1" applyFont="1" applyFill="1" applyBorder="1" applyAlignment="1">
      <alignment horizontal="center" vertical="top"/>
    </xf>
    <xf numFmtId="0" fontId="105" fillId="12" borderId="8" xfId="0" applyFont="1" applyFill="1" applyBorder="1" applyAlignment="1">
      <alignment horizontal="left" vertical="top" wrapText="1" shrinkToFit="1"/>
    </xf>
    <xf numFmtId="4" fontId="131" fillId="12" borderId="8" xfId="0" applyNumberFormat="1" applyFont="1" applyFill="1" applyBorder="1" applyAlignment="1">
      <alignment vertical="top"/>
    </xf>
    <xf numFmtId="49" fontId="24" fillId="0" borderId="15" xfId="0" applyNumberFormat="1" applyFont="1" applyFill="1" applyBorder="1" applyAlignment="1">
      <alignment horizontal="center" vertical="top"/>
    </xf>
    <xf numFmtId="0" fontId="24" fillId="0" borderId="8" xfId="0" applyFont="1" applyBorder="1" applyAlignment="1">
      <alignment horizontal="justify" wrapText="1"/>
    </xf>
    <xf numFmtId="4" fontId="24" fillId="0" borderId="14" xfId="0" applyNumberFormat="1" applyFont="1" applyFill="1" applyBorder="1" applyAlignment="1">
      <alignment vertical="top"/>
    </xf>
    <xf numFmtId="4" fontId="24" fillId="0" borderId="8" xfId="0" applyNumberFormat="1" applyFont="1" applyFill="1" applyBorder="1" applyAlignment="1">
      <alignment vertical="top"/>
    </xf>
    <xf numFmtId="4" fontId="24" fillId="0" borderId="8" xfId="0" applyNumberFormat="1" applyFont="1" applyFill="1" applyBorder="1" applyAlignment="1">
      <alignment vertical="top" wrapText="1"/>
    </xf>
    <xf numFmtId="4" fontId="109" fillId="0" borderId="14" xfId="0" applyNumberFormat="1" applyFont="1" applyFill="1" applyBorder="1" applyAlignment="1">
      <alignment vertical="top"/>
    </xf>
    <xf numFmtId="4" fontId="33" fillId="0" borderId="8" xfId="0" applyNumberFormat="1" applyFont="1" applyFill="1" applyBorder="1" applyAlignment="1">
      <alignment vertical="top"/>
    </xf>
    <xf numFmtId="0" fontId="107" fillId="0" borderId="2" xfId="0" applyFont="1" applyFill="1" applyBorder="1" applyAlignment="1">
      <alignment horizontal="left" vertical="top" wrapText="1" shrinkToFit="1"/>
    </xf>
    <xf numFmtId="4" fontId="112" fillId="0" borderId="2" xfId="0" applyNumberFormat="1" applyFont="1" applyFill="1" applyBorder="1" applyAlignment="1">
      <alignment vertical="top"/>
    </xf>
    <xf numFmtId="3" fontId="15" fillId="0" borderId="2" xfId="0" applyNumberFormat="1" applyFont="1" applyFill="1" applyBorder="1" applyAlignment="1">
      <alignment vertical="top" wrapText="1"/>
    </xf>
    <xf numFmtId="49" fontId="109" fillId="0" borderId="2" xfId="0" applyNumberFormat="1" applyFont="1" applyFill="1" applyBorder="1" applyAlignment="1">
      <alignment horizontal="center" vertical="top"/>
    </xf>
    <xf numFmtId="0" fontId="109" fillId="0" borderId="2" xfId="0" applyFont="1" applyFill="1" applyBorder="1" applyAlignment="1">
      <alignment horizontal="left" vertical="top" wrapText="1" shrinkToFit="1"/>
    </xf>
    <xf numFmtId="3" fontId="109" fillId="0" borderId="2" xfId="0" applyNumberFormat="1" applyFont="1" applyFill="1" applyBorder="1" applyAlignment="1">
      <alignment vertical="top"/>
    </xf>
    <xf numFmtId="3" fontId="109" fillId="0" borderId="2" xfId="0" applyNumberFormat="1" applyFont="1" applyFill="1" applyBorder="1" applyAlignment="1">
      <alignment vertical="top" wrapText="1"/>
    </xf>
    <xf numFmtId="49" fontId="24" fillId="0" borderId="2" xfId="0" applyNumberFormat="1" applyFont="1" applyFill="1" applyBorder="1" applyAlignment="1">
      <alignment horizontal="center" vertical="top"/>
    </xf>
    <xf numFmtId="3" fontId="24" fillId="0" borderId="2" xfId="0" applyNumberFormat="1" applyFont="1" applyFill="1" applyBorder="1" applyAlignment="1">
      <alignment horizontal="right" vertical="top"/>
    </xf>
    <xf numFmtId="3" fontId="107" fillId="0" borderId="2" xfId="0" applyNumberFormat="1" applyFont="1" applyFill="1" applyBorder="1" applyAlignment="1">
      <alignment horizontal="right" vertical="top"/>
    </xf>
    <xf numFmtId="3" fontId="107" fillId="0" borderId="2" xfId="0" applyNumberFormat="1" applyFont="1" applyFill="1" applyBorder="1" applyAlignment="1">
      <alignment vertical="top" wrapText="1"/>
    </xf>
    <xf numFmtId="0" fontId="24" fillId="8" borderId="2" xfId="0" applyFont="1" applyFill="1" applyBorder="1" applyAlignment="1">
      <alignment horizontal="left" vertical="top" wrapText="1" shrinkToFit="1"/>
    </xf>
    <xf numFmtId="3" fontId="15" fillId="0" borderId="2" xfId="0" applyNumberFormat="1" applyFont="1" applyFill="1" applyBorder="1" applyAlignment="1">
      <alignment horizontal="right" vertical="top"/>
    </xf>
    <xf numFmtId="3" fontId="15" fillId="0" borderId="2" xfId="0" applyNumberFormat="1" applyFont="1" applyFill="1" applyBorder="1" applyAlignment="1">
      <alignment horizontal="right" vertical="top" wrapText="1"/>
    </xf>
    <xf numFmtId="49" fontId="15" fillId="0" borderId="10" xfId="0" applyNumberFormat="1" applyFont="1" applyFill="1" applyBorder="1" applyAlignment="1">
      <alignment horizontal="center" vertical="top"/>
    </xf>
    <xf numFmtId="0" fontId="15" fillId="0" borderId="2" xfId="0" applyFont="1" applyBorder="1" applyAlignment="1">
      <alignment horizontal="justify" wrapText="1"/>
    </xf>
    <xf numFmtId="3" fontId="15" fillId="0" borderId="16" xfId="0" applyNumberFormat="1" applyFont="1" applyFill="1" applyBorder="1" applyAlignment="1">
      <alignment vertical="top"/>
    </xf>
    <xf numFmtId="3" fontId="109" fillId="0" borderId="8" xfId="0" applyNumberFormat="1" applyFont="1" applyFill="1" applyBorder="1" applyAlignment="1">
      <alignment vertical="top"/>
    </xf>
    <xf numFmtId="3" fontId="109" fillId="0" borderId="8" xfId="0" applyNumberFormat="1" applyFont="1" applyFill="1" applyBorder="1" applyAlignment="1">
      <alignment vertical="top" wrapText="1"/>
    </xf>
    <xf numFmtId="3" fontId="24" fillId="0" borderId="8" xfId="0" applyNumberFormat="1" applyFont="1" applyFill="1" applyBorder="1" applyAlignment="1">
      <alignment vertical="top"/>
    </xf>
    <xf numFmtId="3" fontId="107" fillId="8" borderId="2" xfId="0" applyNumberFormat="1" applyFont="1" applyFill="1" applyBorder="1" applyAlignment="1">
      <alignment vertical="top"/>
    </xf>
    <xf numFmtId="3" fontId="24" fillId="0" borderId="2" xfId="0" applyNumberFormat="1" applyFont="1" applyFill="1" applyBorder="1" applyAlignment="1">
      <alignment vertical="top"/>
    </xf>
    <xf numFmtId="3" fontId="23" fillId="0" borderId="10" xfId="0" applyNumberFormat="1" applyFont="1" applyFill="1" applyBorder="1" applyAlignment="1">
      <alignment vertical="top"/>
    </xf>
    <xf numFmtId="3" fontId="23" fillId="0" borderId="2" xfId="0" applyNumberFormat="1" applyFont="1" applyFill="1" applyBorder="1" applyAlignment="1">
      <alignment vertical="top"/>
    </xf>
    <xf numFmtId="3" fontId="24" fillId="8" borderId="8" xfId="0" applyNumberFormat="1" applyFont="1" applyFill="1" applyBorder="1" applyAlignment="1">
      <alignment horizontal="right" vertical="top"/>
    </xf>
    <xf numFmtId="3" fontId="23" fillId="0" borderId="15" xfId="0" applyNumberFormat="1" applyFont="1" applyFill="1" applyBorder="1" applyAlignment="1">
      <alignment vertical="top"/>
    </xf>
    <xf numFmtId="3" fontId="23" fillId="0" borderId="8" xfId="0" applyNumberFormat="1" applyFont="1" applyFill="1" applyBorder="1" applyAlignment="1">
      <alignment vertical="top"/>
    </xf>
    <xf numFmtId="3" fontId="107" fillId="8" borderId="8" xfId="0" applyNumberFormat="1" applyFont="1" applyFill="1" applyBorder="1" applyAlignment="1">
      <alignment vertical="top"/>
    </xf>
    <xf numFmtId="3" fontId="107" fillId="10" borderId="8" xfId="0" applyNumberFormat="1" applyFont="1" applyFill="1" applyBorder="1" applyAlignment="1">
      <alignment vertical="top"/>
    </xf>
    <xf numFmtId="3" fontId="107" fillId="8" borderId="15" xfId="0" applyNumberFormat="1" applyFont="1" applyFill="1" applyBorder="1" applyAlignment="1">
      <alignment vertical="top"/>
    </xf>
    <xf numFmtId="0" fontId="15" fillId="0" borderId="8" xfId="0" applyFont="1" applyFill="1" applyBorder="1" applyAlignment="1">
      <alignment horizontal="center" vertical="top"/>
    </xf>
    <xf numFmtId="3" fontId="15" fillId="0" borderId="15" xfId="0" applyNumberFormat="1" applyFont="1" applyFill="1" applyBorder="1" applyAlignment="1">
      <alignment horizontal="right" vertical="top" wrapText="1"/>
    </xf>
    <xf numFmtId="3" fontId="15" fillId="0" borderId="8" xfId="0" applyNumberFormat="1" applyFont="1" applyFill="1" applyBorder="1" applyAlignment="1">
      <alignment horizontal="right" vertical="top" wrapText="1"/>
    </xf>
    <xf numFmtId="3" fontId="107" fillId="0" borderId="15" xfId="0" applyNumberFormat="1" applyFont="1" applyFill="1" applyBorder="1" applyAlignment="1">
      <alignment vertical="top" wrapText="1"/>
    </xf>
    <xf numFmtId="3" fontId="107" fillId="0" borderId="8" xfId="0" applyNumberFormat="1" applyFont="1" applyFill="1" applyBorder="1" applyAlignment="1">
      <alignment vertical="top" wrapText="1"/>
    </xf>
    <xf numFmtId="0" fontId="15" fillId="0" borderId="19" xfId="0" applyFont="1" applyBorder="1" applyAlignment="1">
      <alignment vertical="center" wrapText="1"/>
    </xf>
    <xf numFmtId="0" fontId="107" fillId="0" borderId="2" xfId="0" applyFont="1" applyBorder="1" applyAlignment="1">
      <alignment vertical="top" wrapText="1"/>
    </xf>
    <xf numFmtId="3" fontId="107" fillId="0" borderId="10" xfId="0" applyNumberFormat="1" applyFont="1" applyFill="1" applyBorder="1" applyAlignment="1">
      <alignment vertical="top"/>
    </xf>
    <xf numFmtId="49" fontId="15" fillId="0" borderId="8" xfId="0" applyNumberFormat="1" applyFont="1" applyBorder="1" applyAlignment="1">
      <alignment horizontal="center" vertical="top"/>
    </xf>
    <xf numFmtId="0" fontId="15" fillId="0" borderId="8" xfId="0" applyNumberFormat="1" applyFont="1" applyBorder="1" applyAlignment="1">
      <alignment vertical="top"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3" fontId="15" fillId="0" borderId="2" xfId="5" applyNumberFormat="1" applyFont="1" applyBorder="1"/>
    <xf numFmtId="0" fontId="8" fillId="2" borderId="1" xfId="10" applyNumberFormat="1" applyFont="1" applyFill="1" applyBorder="1" applyAlignment="1">
      <alignment horizontal="left" vertical="center" wrapText="1"/>
    </xf>
    <xf numFmtId="3" fontId="8" fillId="2" borderId="1" xfId="5" applyNumberFormat="1" applyFont="1" applyFill="1" applyBorder="1"/>
    <xf numFmtId="0" fontId="8" fillId="8" borderId="1" xfId="0" applyFont="1" applyFill="1" applyBorder="1" applyAlignment="1">
      <alignment horizontal="center" vertical="top" wrapText="1"/>
    </xf>
    <xf numFmtId="0" fontId="9" fillId="0" borderId="0" xfId="0" applyFont="1" applyFill="1" applyAlignment="1">
      <alignment horizontal="center" vertical="center" wrapText="1"/>
    </xf>
    <xf numFmtId="0" fontId="13" fillId="0" borderId="0" xfId="0" applyFont="1" applyFill="1" applyAlignment="1">
      <alignment horizontal="center" vertical="center" wrapText="1"/>
    </xf>
    <xf numFmtId="0" fontId="8" fillId="0" borderId="0" xfId="0" applyFont="1" applyFill="1" applyAlignment="1">
      <alignment horizontal="center" vertical="center" wrapText="1"/>
    </xf>
    <xf numFmtId="49" fontId="76" fillId="8" borderId="0" xfId="1" applyNumberFormat="1" applyFont="1" applyFill="1" applyBorder="1" applyAlignment="1">
      <alignment horizontal="center" vertical="center" wrapText="1"/>
    </xf>
    <xf numFmtId="0" fontId="3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0" fillId="7" borderId="0" xfId="0" applyFont="1" applyFill="1"/>
    <xf numFmtId="0" fontId="15" fillId="8" borderId="1" xfId="1" applyFont="1" applyFill="1" applyBorder="1" applyAlignment="1">
      <alignment horizontal="center" vertical="center" wrapText="1"/>
    </xf>
    <xf numFmtId="0" fontId="8" fillId="8" borderId="1" xfId="1" applyFont="1" applyFill="1" applyBorder="1" applyAlignment="1">
      <alignment horizontal="left" vertical="center" wrapText="1"/>
    </xf>
    <xf numFmtId="3" fontId="8" fillId="8" borderId="1" xfId="1"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0" fillId="0" borderId="0" xfId="0" applyFont="1" applyBorder="1"/>
    <xf numFmtId="0" fontId="0" fillId="8" borderId="0" xfId="0" applyFont="1" applyFill="1" applyBorder="1"/>
    <xf numFmtId="0" fontId="15" fillId="8" borderId="1" xfId="1" applyFont="1" applyFill="1" applyBorder="1" applyAlignment="1">
      <alignment horizontal="left" vertical="center" wrapText="1"/>
    </xf>
    <xf numFmtId="0" fontId="87" fillId="8" borderId="0" xfId="0" applyFont="1" applyFill="1"/>
    <xf numFmtId="0" fontId="88" fillId="8" borderId="0" xfId="0" applyFont="1" applyFill="1"/>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3" fontId="0" fillId="8" borderId="0" xfId="0" applyNumberFormat="1" applyFont="1" applyFill="1" applyBorder="1"/>
    <xf numFmtId="0" fontId="15" fillId="8" borderId="1" xfId="1" applyFont="1" applyFill="1" applyBorder="1" applyAlignment="1">
      <alignment horizontal="center" vertical="center" wrapText="1"/>
    </xf>
    <xf numFmtId="0" fontId="12" fillId="7" borderId="0" xfId="0" applyFont="1" applyFill="1"/>
    <xf numFmtId="0" fontId="132" fillId="0" borderId="0" xfId="0" applyFont="1" applyFill="1" applyAlignment="1">
      <alignment horizontal="center" vertical="center" wrapText="1"/>
    </xf>
    <xf numFmtId="0" fontId="132" fillId="0" borderId="0" xfId="0" applyFont="1" applyFill="1" applyAlignment="1">
      <alignment horizontal="left" vertical="center" wrapText="1"/>
    </xf>
    <xf numFmtId="0" fontId="133" fillId="0" borderId="0" xfId="0" applyFont="1"/>
    <xf numFmtId="4" fontId="133" fillId="0" borderId="0" xfId="0" applyNumberFormat="1" applyFont="1"/>
    <xf numFmtId="49" fontId="8" fillId="8" borderId="2" xfId="1" applyNumberFormat="1" applyFont="1" applyFill="1" applyBorder="1" applyAlignment="1">
      <alignment horizontal="center" vertical="center" wrapText="1"/>
    </xf>
    <xf numFmtId="0" fontId="8" fillId="8" borderId="2" xfId="1" applyFont="1" applyFill="1" applyBorder="1" applyAlignment="1">
      <alignment horizontal="center" vertical="center" wrapText="1"/>
    </xf>
    <xf numFmtId="0" fontId="8" fillId="8" borderId="2" xfId="1" applyFont="1" applyFill="1" applyBorder="1" applyAlignment="1">
      <alignment horizontal="left" vertical="center" wrapText="1"/>
    </xf>
    <xf numFmtId="3" fontId="0" fillId="7" borderId="0" xfId="0" applyNumberFormat="1" applyFont="1" applyFill="1"/>
    <xf numFmtId="0" fontId="10" fillId="0" borderId="0" xfId="1" applyFont="1" applyFill="1" applyBorder="1" applyAlignment="1">
      <alignment horizontal="center" vertical="center" wrapText="1"/>
    </xf>
    <xf numFmtId="3" fontId="15" fillId="0" borderId="1" xfId="0" applyNumberFormat="1" applyFont="1" applyFill="1" applyBorder="1"/>
    <xf numFmtId="1" fontId="15" fillId="0" borderId="1" xfId="0" applyNumberFormat="1" applyFont="1" applyFill="1" applyBorder="1"/>
    <xf numFmtId="0" fontId="0" fillId="0" borderId="1" xfId="0" applyFont="1" applyFill="1" applyBorder="1"/>
    <xf numFmtId="0" fontId="0" fillId="0" borderId="3" xfId="0" applyFont="1" applyFill="1" applyBorder="1" applyAlignment="1">
      <alignment horizontal="center"/>
    </xf>
    <xf numFmtId="0" fontId="0" fillId="0" borderId="4" xfId="0" applyFont="1" applyFill="1" applyBorder="1" applyAlignment="1">
      <alignment horizontal="center"/>
    </xf>
    <xf numFmtId="3" fontId="15" fillId="0" borderId="2" xfId="0" applyNumberFormat="1" applyFont="1" applyFill="1" applyBorder="1"/>
    <xf numFmtId="3" fontId="8" fillId="0" borderId="3" xfId="0" applyNumberFormat="1" applyFont="1" applyFill="1" applyBorder="1"/>
    <xf numFmtId="0" fontId="26" fillId="0" borderId="0" xfId="0" applyFont="1" applyFill="1"/>
    <xf numFmtId="0" fontId="13" fillId="13" borderId="1" xfId="1" applyFont="1" applyFill="1" applyBorder="1" applyAlignment="1">
      <alignment horizontal="left" vertical="center" wrapText="1"/>
    </xf>
    <xf numFmtId="49" fontId="13" fillId="13" borderId="5" xfId="1" applyNumberFormat="1" applyFont="1" applyFill="1" applyBorder="1" applyAlignment="1">
      <alignment vertical="center" wrapText="1"/>
    </xf>
    <xf numFmtId="49" fontId="13" fillId="13" borderId="8" xfId="1" applyNumberFormat="1" applyFont="1" applyFill="1" applyBorder="1" applyAlignment="1">
      <alignment vertical="center" wrapText="1"/>
    </xf>
    <xf numFmtId="49" fontId="13" fillId="13" borderId="2" xfId="1" applyNumberFormat="1" applyFont="1" applyFill="1" applyBorder="1" applyAlignment="1">
      <alignment vertical="center" wrapText="1"/>
    </xf>
    <xf numFmtId="0" fontId="13" fillId="13" borderId="2" xfId="1" applyFont="1" applyFill="1" applyBorder="1" applyAlignment="1">
      <alignment horizontal="left" vertical="center" wrapText="1"/>
    </xf>
    <xf numFmtId="0" fontId="10" fillId="14" borderId="1" xfId="0" applyFont="1" applyFill="1" applyBorder="1" applyAlignment="1">
      <alignment horizontal="center" vertical="center" wrapText="1"/>
    </xf>
    <xf numFmtId="0" fontId="10" fillId="14" borderId="1"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13" fillId="13" borderId="1" xfId="0" applyFont="1" applyFill="1" applyBorder="1" applyAlignment="1">
      <alignment horizontal="left" vertical="center" wrapText="1"/>
    </xf>
    <xf numFmtId="0" fontId="8" fillId="13" borderId="1" xfId="1" applyFont="1" applyFill="1" applyBorder="1" applyAlignment="1">
      <alignment horizontal="center" vertical="center" wrapText="1"/>
    </xf>
    <xf numFmtId="0" fontId="8" fillId="13" borderId="1" xfId="1" applyFont="1" applyFill="1" applyBorder="1" applyAlignment="1">
      <alignment horizontal="left" vertical="center" wrapText="1"/>
    </xf>
    <xf numFmtId="3" fontId="8" fillId="13" borderId="1" xfId="1" applyNumberFormat="1" applyFont="1" applyFill="1" applyBorder="1" applyAlignment="1">
      <alignment horizontal="center" vertical="center" wrapText="1"/>
    </xf>
    <xf numFmtId="0" fontId="13" fillId="14" borderId="1" xfId="1" applyFont="1" applyFill="1" applyBorder="1" applyAlignment="1">
      <alignment horizontal="center" vertical="center" wrapText="1"/>
    </xf>
    <xf numFmtId="0" fontId="13" fillId="14" borderId="1" xfId="1" applyFont="1" applyFill="1" applyBorder="1" applyAlignment="1">
      <alignment horizontal="left" vertical="center" wrapText="1"/>
    </xf>
    <xf numFmtId="3" fontId="13" fillId="14" borderId="1" xfId="1" applyNumberFormat="1" applyFont="1" applyFill="1" applyBorder="1" applyAlignment="1">
      <alignment horizontal="center" vertical="center" wrapText="1"/>
    </xf>
    <xf numFmtId="0" fontId="13" fillId="13" borderId="1" xfId="1" applyFont="1" applyFill="1" applyBorder="1" applyAlignment="1">
      <alignment horizontal="center" vertical="center" wrapText="1"/>
    </xf>
    <xf numFmtId="3" fontId="13" fillId="13" borderId="1" xfId="1" applyNumberFormat="1" applyFont="1" applyFill="1" applyBorder="1" applyAlignment="1">
      <alignment horizontal="center" vertical="center" wrapText="1"/>
    </xf>
    <xf numFmtId="4" fontId="99" fillId="4" borderId="1" xfId="0" applyNumberFormat="1" applyFont="1" applyFill="1" applyBorder="1" applyAlignment="1">
      <alignment vertical="top" wrapText="1" shrinkToFit="1"/>
    </xf>
    <xf numFmtId="0" fontId="15" fillId="8" borderId="5" xfId="1" applyFont="1" applyFill="1" applyBorder="1" applyAlignment="1">
      <alignment horizontal="center" vertical="center" wrapText="1"/>
    </xf>
    <xf numFmtId="0" fontId="13" fillId="13" borderId="2" xfId="0" applyFont="1" applyFill="1" applyBorder="1" applyAlignment="1">
      <alignment horizontal="center" vertical="center" wrapText="1"/>
    </xf>
    <xf numFmtId="49" fontId="13" fillId="13" borderId="2" xfId="0" applyNumberFormat="1" applyFont="1" applyFill="1" applyBorder="1" applyAlignment="1">
      <alignment horizontal="center" vertical="center" wrapText="1"/>
    </xf>
    <xf numFmtId="0" fontId="0" fillId="0" borderId="9" xfId="0" applyFont="1" applyFill="1" applyBorder="1" applyAlignment="1">
      <alignment horizontal="center"/>
    </xf>
    <xf numFmtId="0" fontId="8" fillId="8" borderId="4" xfId="0" applyFont="1" applyFill="1" applyBorder="1" applyAlignment="1">
      <alignment horizontal="center" vertical="center" wrapText="1"/>
    </xf>
    <xf numFmtId="0" fontId="33" fillId="8" borderId="1" xfId="6" applyFont="1" applyFill="1" applyBorder="1" applyAlignment="1">
      <alignment vertical="top" wrapText="1"/>
    </xf>
    <xf numFmtId="49" fontId="78" fillId="0" borderId="1" xfId="0" applyNumberFormat="1" applyFont="1" applyFill="1" applyBorder="1" applyAlignment="1">
      <alignment horizontal="center" vertical="top"/>
    </xf>
    <xf numFmtId="49" fontId="78" fillId="0" borderId="3" xfId="0" applyNumberFormat="1" applyFont="1" applyFill="1" applyBorder="1" applyAlignment="1">
      <alignment horizontal="center" vertical="top"/>
    </xf>
    <xf numFmtId="3" fontId="15" fillId="2" borderId="3" xfId="0" applyNumberFormat="1" applyFont="1" applyFill="1" applyBorder="1" applyAlignment="1">
      <alignment vertical="top" wrapText="1"/>
    </xf>
    <xf numFmtId="186" fontId="15" fillId="0" borderId="1" xfId="0" applyNumberFormat="1" applyFont="1" applyFill="1" applyBorder="1" applyAlignment="1">
      <alignment vertical="top" wrapText="1"/>
    </xf>
    <xf numFmtId="3" fontId="8" fillId="0" borderId="1" xfId="0" applyNumberFormat="1" applyFont="1" applyFill="1" applyBorder="1" applyAlignment="1">
      <alignment vertical="top" wrapText="1"/>
    </xf>
    <xf numFmtId="0" fontId="8" fillId="0" borderId="1" xfId="0" applyFont="1" applyBorder="1" applyAlignment="1">
      <alignment vertical="center" wrapText="1"/>
    </xf>
    <xf numFmtId="0" fontId="0" fillId="5" borderId="0" xfId="0" applyFill="1"/>
    <xf numFmtId="3" fontId="0" fillId="5" borderId="0" xfId="0" applyNumberFormat="1" applyFill="1"/>
    <xf numFmtId="0" fontId="78" fillId="0" borderId="1" xfId="0" applyFont="1" applyFill="1" applyBorder="1" applyAlignment="1">
      <alignment horizontal="center" vertical="top"/>
    </xf>
    <xf numFmtId="3" fontId="40" fillId="0" borderId="1" xfId="0" applyNumberFormat="1" applyFont="1" applyFill="1" applyBorder="1" applyAlignment="1">
      <alignment horizontal="right" vertical="center"/>
    </xf>
    <xf numFmtId="3" fontId="40" fillId="0" borderId="1" xfId="0" applyNumberFormat="1" applyFont="1" applyFill="1" applyBorder="1" applyAlignment="1">
      <alignment horizontal="right" vertical="center" wrapText="1" shrinkToFit="1"/>
    </xf>
    <xf numFmtId="0" fontId="90" fillId="0" borderId="0" xfId="0" applyFont="1" applyFill="1"/>
    <xf numFmtId="4" fontId="90" fillId="0" borderId="0" xfId="0" applyNumberFormat="1" applyFont="1" applyFill="1"/>
    <xf numFmtId="4" fontId="38" fillId="0" borderId="0" xfId="0" applyNumberFormat="1" applyFont="1" applyFill="1"/>
    <xf numFmtId="2" fontId="90" fillId="0" borderId="0" xfId="0" applyNumberFormat="1" applyFont="1" applyFill="1"/>
    <xf numFmtId="3" fontId="41" fillId="6" borderId="0" xfId="0" applyNumberFormat="1" applyFont="1" applyFill="1"/>
    <xf numFmtId="4" fontId="0" fillId="0" borderId="0" xfId="0" applyNumberFormat="1" applyFont="1" applyFill="1"/>
    <xf numFmtId="0" fontId="24" fillId="0" borderId="17" xfId="0" applyFont="1" applyBorder="1" applyAlignment="1">
      <alignment vertical="center" wrapText="1"/>
    </xf>
    <xf numFmtId="49" fontId="24" fillId="0" borderId="17" xfId="0" applyNumberFormat="1" applyFont="1" applyBorder="1" applyAlignment="1">
      <alignment horizontal="center" vertical="center" wrapText="1"/>
    </xf>
    <xf numFmtId="4" fontId="105" fillId="11" borderId="0" xfId="0" applyNumberFormat="1" applyFont="1" applyFill="1" applyBorder="1" applyAlignment="1">
      <alignment horizontal="right" vertical="top"/>
    </xf>
    <xf numFmtId="0" fontId="117" fillId="0" borderId="1" xfId="0" applyFont="1" applyBorder="1" applyAlignment="1">
      <alignment horizontal="center" vertical="center" wrapText="1"/>
    </xf>
    <xf numFmtId="0" fontId="117" fillId="8" borderId="1" xfId="0" applyFont="1" applyFill="1" applyBorder="1" applyAlignment="1">
      <alignment horizontal="center" vertical="center" wrapText="1"/>
    </xf>
    <xf numFmtId="0" fontId="8" fillId="0" borderId="0" xfId="0" applyFont="1" applyAlignment="1">
      <alignment horizontal="centerContinuous" wrapText="1"/>
    </xf>
    <xf numFmtId="0" fontId="8" fillId="0" borderId="0" xfId="0" applyFont="1" applyAlignment="1">
      <alignment horizontal="left" wrapText="1"/>
    </xf>
    <xf numFmtId="0" fontId="13" fillId="0" borderId="0" xfId="0" applyFont="1" applyBorder="1" applyAlignment="1">
      <alignment horizontal="center" wrapText="1"/>
    </xf>
    <xf numFmtId="4" fontId="8" fillId="8"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wrapText="1"/>
    </xf>
    <xf numFmtId="0" fontId="15" fillId="0" borderId="1" xfId="1" applyFont="1" applyFill="1" applyBorder="1" applyAlignment="1">
      <alignment horizontal="left" vertical="center" wrapText="1"/>
    </xf>
    <xf numFmtId="3" fontId="8" fillId="0" borderId="1" xfId="1" applyNumberFormat="1" applyFont="1" applyFill="1" applyBorder="1" applyAlignment="1">
      <alignment horizontal="center" vertical="center" wrapText="1"/>
    </xf>
    <xf numFmtId="0" fontId="100" fillId="13" borderId="1" xfId="1" applyFont="1" applyFill="1" applyBorder="1" applyAlignment="1">
      <alignment horizontal="left" vertical="center" wrapText="1"/>
    </xf>
    <xf numFmtId="0" fontId="134" fillId="0" borderId="0" xfId="0" applyFont="1"/>
    <xf numFmtId="0" fontId="134" fillId="7" borderId="0" xfId="0" applyFont="1" applyFill="1"/>
    <xf numFmtId="0" fontId="134" fillId="0" borderId="0" xfId="0" applyFont="1" applyFill="1"/>
    <xf numFmtId="0" fontId="117" fillId="8" borderId="0" xfId="0" applyFont="1" applyFill="1" applyBorder="1" applyAlignment="1"/>
    <xf numFmtId="0" fontId="117" fillId="0" borderId="0" xfId="0" applyFont="1" applyFill="1" applyBorder="1" applyAlignment="1">
      <alignment horizontal="left" vertical="center" wrapText="1"/>
    </xf>
    <xf numFmtId="186" fontId="117" fillId="0" borderId="0" xfId="0" applyNumberFormat="1" applyFont="1" applyFill="1" applyBorder="1"/>
    <xf numFmtId="0" fontId="117" fillId="0" borderId="0" xfId="0" applyFont="1" applyFill="1" applyBorder="1"/>
    <xf numFmtId="0" fontId="117" fillId="8" borderId="0" xfId="0" applyFont="1" applyFill="1" applyBorder="1"/>
    <xf numFmtId="0" fontId="104" fillId="0" borderId="0" xfId="0" applyFont="1" applyFill="1" applyBorder="1" applyAlignment="1">
      <alignment horizontal="center"/>
    </xf>
    <xf numFmtId="0" fontId="117" fillId="0" borderId="0" xfId="0" applyFont="1" applyFill="1" applyBorder="1" applyAlignment="1">
      <alignment horizontal="left"/>
    </xf>
    <xf numFmtId="0" fontId="117" fillId="0" borderId="0" xfId="0" applyFont="1" applyFill="1" applyBorder="1" applyAlignment="1"/>
    <xf numFmtId="0" fontId="135" fillId="0" borderId="0" xfId="0" applyFont="1" applyFill="1" applyBorder="1"/>
    <xf numFmtId="49" fontId="136" fillId="0" borderId="0" xfId="5" applyNumberFormat="1" applyFont="1" applyFill="1" applyBorder="1" applyAlignment="1">
      <alignment horizontal="left"/>
    </xf>
    <xf numFmtId="0" fontId="104" fillId="0" borderId="0" xfId="0" applyFont="1" applyFill="1" applyBorder="1" applyAlignment="1">
      <alignment horizontal="left"/>
    </xf>
    <xf numFmtId="0" fontId="99" fillId="0" borderId="0" xfId="5" applyFont="1" applyFill="1" applyBorder="1" applyAlignment="1">
      <alignment horizontal="left"/>
    </xf>
    <xf numFmtId="2" fontId="137" fillId="0" borderId="0" xfId="0" applyNumberFormat="1" applyFont="1" applyFill="1" applyBorder="1" applyAlignment="1"/>
    <xf numFmtId="0" fontId="137" fillId="0" borderId="0" xfId="0" applyFont="1" applyFill="1" applyBorder="1" applyAlignment="1">
      <alignment wrapText="1"/>
    </xf>
    <xf numFmtId="0" fontId="137" fillId="0" borderId="0" xfId="0" applyFont="1" applyFill="1" applyBorder="1" applyAlignment="1">
      <alignment horizontal="center" wrapText="1"/>
    </xf>
    <xf numFmtId="0" fontId="122" fillId="0" borderId="0" xfId="0" applyFont="1" applyFill="1" applyBorder="1" applyAlignment="1">
      <alignment horizontal="center"/>
    </xf>
    <xf numFmtId="0" fontId="99" fillId="0" borderId="0" xfId="0" applyFont="1" applyFill="1" applyBorder="1" applyAlignment="1">
      <alignment horizontal="left"/>
    </xf>
    <xf numFmtId="0" fontId="104" fillId="0" borderId="0" xfId="5" applyFont="1" applyFill="1" applyBorder="1" applyAlignment="1">
      <alignment horizontal="right"/>
    </xf>
    <xf numFmtId="0" fontId="99" fillId="0" borderId="0" xfId="0" applyFont="1" applyFill="1" applyBorder="1"/>
    <xf numFmtId="0" fontId="117" fillId="0" borderId="1" xfId="0" applyFont="1" applyBorder="1" applyAlignment="1">
      <alignment vertical="center" wrapText="1"/>
    </xf>
    <xf numFmtId="0" fontId="100" fillId="0" borderId="0" xfId="0" applyFont="1" applyFill="1" applyBorder="1" applyAlignment="1">
      <alignment horizontal="right"/>
    </xf>
    <xf numFmtId="3" fontId="100" fillId="0" borderId="0" xfId="0" applyNumberFormat="1" applyFont="1" applyFill="1" applyBorder="1" applyAlignment="1">
      <alignment horizontal="right"/>
    </xf>
    <xf numFmtId="0" fontId="13" fillId="8" borderId="1" xfId="0" applyFont="1" applyFill="1" applyBorder="1" applyAlignment="1">
      <alignment horizontal="center" vertical="center" wrapText="1"/>
    </xf>
    <xf numFmtId="4" fontId="13" fillId="8" borderId="1" xfId="0" applyNumberFormat="1" applyFont="1" applyFill="1" applyBorder="1" applyAlignment="1">
      <alignment horizontal="right" vertical="center" wrapText="1"/>
    </xf>
    <xf numFmtId="0" fontId="0" fillId="0" borderId="1" xfId="0" applyFont="1" applyBorder="1"/>
    <xf numFmtId="4" fontId="100" fillId="0" borderId="0" xfId="0" applyNumberFormat="1" applyFont="1" applyFill="1" applyBorder="1" applyAlignment="1">
      <alignment horizontal="right"/>
    </xf>
    <xf numFmtId="0" fontId="134" fillId="8" borderId="0" xfId="0" applyFont="1" applyFill="1"/>
    <xf numFmtId="0" fontId="138" fillId="8" borderId="0" xfId="0" applyFont="1" applyFill="1"/>
    <xf numFmtId="0" fontId="139" fillId="8" borderId="0" xfId="0" applyFont="1" applyFill="1"/>
    <xf numFmtId="0" fontId="100" fillId="0" borderId="0" xfId="0" applyFont="1" applyAlignment="1">
      <alignment horizontal="left"/>
    </xf>
    <xf numFmtId="0" fontId="134" fillId="0" borderId="1" xfId="0" applyFont="1" applyBorder="1"/>
    <xf numFmtId="4" fontId="134" fillId="0" borderId="1" xfId="0" applyNumberFormat="1" applyFont="1" applyBorder="1"/>
    <xf numFmtId="3" fontId="134" fillId="0" borderId="1" xfId="0" applyNumberFormat="1" applyFont="1" applyBorder="1"/>
    <xf numFmtId="0" fontId="134" fillId="8" borderId="1" xfId="0" applyFont="1" applyFill="1" applyBorder="1"/>
    <xf numFmtId="0" fontId="0" fillId="8" borderId="1" xfId="0" applyFont="1" applyFill="1" applyBorder="1"/>
    <xf numFmtId="0" fontId="117" fillId="8" borderId="1" xfId="0" applyFont="1" applyFill="1" applyBorder="1" applyAlignment="1">
      <alignment horizontal="left" vertical="center" wrapText="1"/>
    </xf>
    <xf numFmtId="0" fontId="8" fillId="0" borderId="1" xfId="0" applyFont="1" applyFill="1" applyBorder="1" applyAlignment="1">
      <alignment vertical="top" wrapText="1"/>
    </xf>
    <xf numFmtId="3" fontId="15" fillId="0" borderId="5" xfId="0" applyNumberFormat="1" applyFont="1" applyFill="1" applyBorder="1"/>
    <xf numFmtId="0" fontId="15" fillId="8" borderId="5" xfId="1" applyFont="1" applyFill="1" applyBorder="1" applyAlignment="1">
      <alignment horizontal="left" vertical="center" wrapText="1"/>
    </xf>
    <xf numFmtId="49" fontId="8" fillId="0" borderId="3" xfId="0" applyNumberFormat="1" applyFont="1" applyFill="1" applyBorder="1" applyAlignment="1">
      <alignment horizontal="center" vertical="top" wrapText="1"/>
    </xf>
    <xf numFmtId="3" fontId="15" fillId="0" borderId="3" xfId="0" applyNumberFormat="1" applyFont="1" applyFill="1" applyBorder="1"/>
    <xf numFmtId="1" fontId="15" fillId="0" borderId="5" xfId="0" applyNumberFormat="1" applyFont="1" applyFill="1" applyBorder="1"/>
    <xf numFmtId="0" fontId="0" fillId="0" borderId="5" xfId="0" applyFont="1" applyFill="1" applyBorder="1"/>
    <xf numFmtId="1" fontId="15" fillId="0" borderId="2" xfId="0" applyNumberFormat="1" applyFont="1" applyFill="1" applyBorder="1"/>
    <xf numFmtId="0" fontId="0" fillId="0" borderId="2" xfId="0" applyFont="1" applyFill="1" applyBorder="1"/>
    <xf numFmtId="1" fontId="15" fillId="0" borderId="8" xfId="0" applyNumberFormat="1" applyFont="1" applyFill="1" applyBorder="1"/>
    <xf numFmtId="3" fontId="15" fillId="0" borderId="8" xfId="0" applyNumberFormat="1" applyFont="1" applyFill="1" applyBorder="1"/>
    <xf numFmtId="0" fontId="15" fillId="13" borderId="2" xfId="0" applyFont="1" applyFill="1" applyBorder="1" applyAlignment="1">
      <alignment horizontal="center" vertical="top" wrapText="1"/>
    </xf>
    <xf numFmtId="0" fontId="8" fillId="0" borderId="3" xfId="0" applyFont="1" applyFill="1" applyBorder="1" applyAlignment="1">
      <alignment vertical="top" wrapText="1"/>
    </xf>
    <xf numFmtId="0" fontId="8" fillId="0" borderId="9" xfId="0" applyFont="1" applyFill="1" applyBorder="1" applyAlignment="1">
      <alignment vertical="top" wrapText="1"/>
    </xf>
    <xf numFmtId="0" fontId="8" fillId="0" borderId="4" xfId="0" applyFont="1" applyFill="1" applyBorder="1" applyAlignment="1">
      <alignment vertical="top" wrapText="1"/>
    </xf>
    <xf numFmtId="3" fontId="8" fillId="0" borderId="1" xfId="0" applyNumberFormat="1" applyFont="1" applyBorder="1" applyAlignment="1">
      <alignment horizontal="center" vertical="center" wrapText="1"/>
    </xf>
    <xf numFmtId="3" fontId="8" fillId="8"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3" fontId="117" fillId="0" borderId="1" xfId="0" applyNumberFormat="1" applyFont="1" applyFill="1" applyBorder="1" applyAlignment="1">
      <alignment horizontal="left" vertical="center" wrapText="1"/>
    </xf>
    <xf numFmtId="3" fontId="117" fillId="0" borderId="1" xfId="9" applyNumberFormat="1" applyFont="1" applyFill="1" applyBorder="1" applyAlignment="1">
      <alignment horizontal="right" vertical="center" wrapText="1"/>
    </xf>
    <xf numFmtId="3" fontId="117" fillId="0" borderId="1" xfId="0" applyNumberFormat="1" applyFont="1" applyFill="1" applyBorder="1" applyAlignment="1">
      <alignment horizontal="right" vertical="center"/>
    </xf>
    <xf numFmtId="3"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right" vertical="center" wrapText="1"/>
    </xf>
    <xf numFmtId="3" fontId="8" fillId="0" borderId="1" xfId="0" applyNumberFormat="1" applyFont="1" applyFill="1" applyBorder="1" applyAlignment="1">
      <alignment horizontal="left" vertical="center" wrapText="1"/>
    </xf>
    <xf numFmtId="1" fontId="15" fillId="13" borderId="3" xfId="0" applyNumberFormat="1" applyFont="1" applyFill="1" applyBorder="1" applyAlignment="1">
      <alignment horizontal="center" wrapText="1"/>
    </xf>
    <xf numFmtId="3" fontId="15" fillId="0" borderId="10" xfId="0" applyNumberFormat="1" applyFont="1" applyFill="1" applyBorder="1"/>
    <xf numFmtId="3" fontId="8" fillId="0" borderId="1" xfId="0" applyNumberFormat="1" applyFont="1" applyFill="1" applyBorder="1" applyAlignment="1">
      <alignment vertical="center"/>
    </xf>
    <xf numFmtId="3" fontId="8" fillId="0" borderId="1" xfId="0" applyNumberFormat="1" applyFont="1" applyFill="1" applyBorder="1" applyAlignment="1">
      <alignment vertical="center" wrapText="1"/>
    </xf>
    <xf numFmtId="0" fontId="8" fillId="8" borderId="1" xfId="0" applyFont="1" applyFill="1" applyBorder="1" applyAlignment="1">
      <alignment horizontal="left" vertical="center" wrapText="1"/>
    </xf>
    <xf numFmtId="4" fontId="117" fillId="0" borderId="1" xfId="0" applyNumberFormat="1" applyFont="1" applyFill="1" applyBorder="1" applyAlignment="1">
      <alignment horizontal="right" vertical="center" wrapText="1"/>
    </xf>
    <xf numFmtId="4" fontId="8" fillId="0" borderId="0" xfId="0" applyNumberFormat="1" applyFont="1"/>
    <xf numFmtId="4" fontId="30" fillId="0" borderId="1" xfId="0" applyNumberFormat="1" applyFont="1" applyBorder="1" applyAlignment="1">
      <alignment horizontal="center"/>
    </xf>
    <xf numFmtId="4" fontId="30" fillId="0" borderId="1" xfId="0" applyNumberFormat="1" applyFont="1" applyFill="1" applyBorder="1" applyAlignment="1">
      <alignment horizontal="center"/>
    </xf>
    <xf numFmtId="4" fontId="8" fillId="0" borderId="1" xfId="0" applyNumberFormat="1" applyFont="1" applyBorder="1" applyAlignment="1">
      <alignment horizontal="center"/>
    </xf>
    <xf numFmtId="4" fontId="8" fillId="0" borderId="1" xfId="0" applyNumberFormat="1" applyFont="1" applyFill="1" applyBorder="1" applyAlignment="1">
      <alignment horizontal="center"/>
    </xf>
    <xf numFmtId="4" fontId="13" fillId="0" borderId="2" xfId="0" applyNumberFormat="1" applyFont="1" applyBorder="1" applyAlignment="1">
      <alignment horizontal="center"/>
    </xf>
    <xf numFmtId="4" fontId="8" fillId="0" borderId="2" xfId="0" applyNumberFormat="1" applyFont="1" applyBorder="1" applyAlignment="1">
      <alignment horizontal="center"/>
    </xf>
    <xf numFmtId="4" fontId="8" fillId="0" borderId="9" xfId="0" applyNumberFormat="1" applyFont="1" applyBorder="1" applyAlignment="1">
      <alignment horizontal="center"/>
    </xf>
    <xf numFmtId="4" fontId="8" fillId="0" borderId="9" xfId="0" applyNumberFormat="1" applyFont="1" applyFill="1" applyBorder="1" applyAlignment="1">
      <alignment horizontal="center" vertical="center"/>
    </xf>
    <xf numFmtId="4" fontId="8" fillId="0" borderId="4" xfId="0" applyNumberFormat="1" applyFont="1" applyFill="1" applyBorder="1" applyAlignment="1">
      <alignment horizontal="center" vertical="center"/>
    </xf>
    <xf numFmtId="4" fontId="8" fillId="0" borderId="1" xfId="0" applyNumberFormat="1" applyFont="1" applyFill="1" applyBorder="1" applyAlignment="1">
      <alignment horizontal="right" vertical="center"/>
    </xf>
    <xf numFmtId="0" fontId="10" fillId="14" borderId="1" xfId="1" applyFont="1" applyFill="1" applyBorder="1" applyAlignment="1">
      <alignment horizontal="center" vertical="center" wrapText="1"/>
    </xf>
    <xf numFmtId="4" fontId="22" fillId="0" borderId="1" xfId="9" applyNumberFormat="1" applyFont="1" applyFill="1" applyBorder="1" applyAlignment="1">
      <alignment horizontal="center" vertical="center" wrapText="1"/>
    </xf>
    <xf numFmtId="0" fontId="112" fillId="0" borderId="1" xfId="0" applyFont="1" applyBorder="1" applyAlignment="1">
      <alignment horizontal="center" vertical="center" wrapText="1"/>
    </xf>
    <xf numFmtId="4" fontId="112" fillId="0" borderId="5" xfId="0" applyNumberFormat="1" applyFont="1" applyBorder="1" applyAlignment="1">
      <alignment horizontal="center" vertical="center" wrapText="1"/>
    </xf>
    <xf numFmtId="0" fontId="91" fillId="0" borderId="0" xfId="5" applyFont="1"/>
    <xf numFmtId="3" fontId="133" fillId="0" borderId="0" xfId="0" applyNumberFormat="1" applyFont="1"/>
    <xf numFmtId="3" fontId="8" fillId="0" borderId="0" xfId="1" applyNumberFormat="1" applyFont="1" applyFill="1" applyBorder="1" applyAlignment="1">
      <alignment horizontal="center" vertical="center" wrapText="1"/>
    </xf>
    <xf numFmtId="0" fontId="0" fillId="0" borderId="1" xfId="0" applyFont="1" applyFill="1" applyBorder="1" applyAlignment="1">
      <alignment horizontal="center"/>
    </xf>
    <xf numFmtId="0" fontId="24" fillId="0" borderId="1" xfId="0" applyFont="1" applyBorder="1" applyAlignment="1">
      <alignment vertical="center" wrapText="1"/>
    </xf>
    <xf numFmtId="4" fontId="107" fillId="0" borderId="1" xfId="0" applyNumberFormat="1" applyFont="1" applyFill="1" applyBorder="1" applyAlignment="1">
      <alignment horizontal="right" vertical="top" wrapText="1"/>
    </xf>
    <xf numFmtId="4" fontId="15" fillId="0" borderId="3" xfId="0" applyNumberFormat="1" applyFont="1" applyFill="1" applyBorder="1" applyAlignment="1">
      <alignment horizontal="right"/>
    </xf>
    <xf numFmtId="4" fontId="131" fillId="4" borderId="1" xfId="0" applyNumberFormat="1" applyFont="1" applyFill="1" applyBorder="1" applyAlignment="1">
      <alignment vertical="top"/>
    </xf>
    <xf numFmtId="4" fontId="105" fillId="4" borderId="1" xfId="0" applyNumberFormat="1" applyFont="1" applyFill="1" applyBorder="1" applyAlignment="1">
      <alignment vertical="top"/>
    </xf>
    <xf numFmtId="4" fontId="107" fillId="0" borderId="5" xfId="0" applyNumberFormat="1" applyFont="1" applyFill="1" applyBorder="1" applyAlignment="1">
      <alignment horizontal="right" vertical="top"/>
    </xf>
    <xf numFmtId="4" fontId="107" fillId="0" borderId="2" xfId="0" applyNumberFormat="1" applyFont="1" applyFill="1" applyBorder="1" applyAlignment="1">
      <alignment vertical="top"/>
    </xf>
    <xf numFmtId="4" fontId="107" fillId="0" borderId="8" xfId="0" applyNumberFormat="1" applyFont="1" applyFill="1" applyBorder="1" applyAlignment="1">
      <alignment vertical="top"/>
    </xf>
    <xf numFmtId="4" fontId="15" fillId="8" borderId="1" xfId="0" applyNumberFormat="1" applyFont="1" applyFill="1" applyBorder="1" applyAlignment="1">
      <alignment horizontal="right" vertical="top"/>
    </xf>
    <xf numFmtId="4" fontId="107" fillId="8" borderId="1" xfId="0" applyNumberFormat="1" applyFont="1" applyFill="1" applyBorder="1" applyAlignment="1">
      <alignment horizontal="right" vertical="top"/>
    </xf>
    <xf numFmtId="4" fontId="13" fillId="4" borderId="1" xfId="0" applyNumberFormat="1" applyFont="1" applyFill="1" applyBorder="1" applyAlignment="1">
      <alignment vertical="center"/>
    </xf>
    <xf numFmtId="0" fontId="15" fillId="2" borderId="0" xfId="0" applyFont="1" applyFill="1" applyBorder="1" applyAlignment="1">
      <alignment vertical="top" wrapText="1" shrinkToFit="1"/>
    </xf>
    <xf numFmtId="4" fontId="15" fillId="0"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wrapText="1"/>
    </xf>
    <xf numFmtId="4" fontId="15" fillId="0" borderId="1" xfId="0" applyNumberFormat="1" applyFont="1" applyFill="1" applyBorder="1" applyAlignment="1">
      <alignment vertical="center" wrapText="1"/>
    </xf>
    <xf numFmtId="3" fontId="15" fillId="8" borderId="3" xfId="0" applyNumberFormat="1" applyFont="1" applyFill="1" applyBorder="1" applyAlignment="1">
      <alignment vertical="top" wrapText="1"/>
    </xf>
    <xf numFmtId="3" fontId="15" fillId="0" borderId="6" xfId="0" applyNumberFormat="1" applyFont="1" applyFill="1" applyBorder="1"/>
    <xf numFmtId="1" fontId="15" fillId="13" borderId="6" xfId="0" applyNumberFormat="1" applyFont="1" applyFill="1" applyBorder="1" applyAlignment="1">
      <alignment vertical="center" wrapText="1"/>
    </xf>
    <xf numFmtId="1" fontId="15" fillId="13" borderId="12" xfId="0" applyNumberFormat="1" applyFont="1" applyFill="1" applyBorder="1" applyAlignment="1">
      <alignment vertical="center" wrapText="1"/>
    </xf>
    <xf numFmtId="1" fontId="15" fillId="13" borderId="15" xfId="0" applyNumberFormat="1" applyFont="1" applyFill="1" applyBorder="1" applyAlignment="1">
      <alignment vertical="center" wrapText="1"/>
    </xf>
    <xf numFmtId="1" fontId="15" fillId="13" borderId="14" xfId="0" applyNumberFormat="1" applyFont="1" applyFill="1" applyBorder="1" applyAlignment="1">
      <alignment vertical="center" wrapText="1"/>
    </xf>
    <xf numFmtId="1" fontId="15" fillId="13" borderId="10" xfId="0" applyNumberFormat="1" applyFont="1" applyFill="1" applyBorder="1" applyAlignment="1">
      <alignment vertical="center" wrapText="1"/>
    </xf>
    <xf numFmtId="0" fontId="8" fillId="8" borderId="16" xfId="0" applyFont="1" applyFill="1" applyBorder="1" applyAlignment="1">
      <alignment horizontal="center" vertical="center" wrapText="1" shrinkToFit="1"/>
    </xf>
    <xf numFmtId="0" fontId="8" fillId="8" borderId="1" xfId="0" applyFont="1" applyFill="1" applyBorder="1" applyAlignment="1">
      <alignment horizontal="center" vertical="center" wrapText="1" shrinkToFit="1"/>
    </xf>
    <xf numFmtId="4" fontId="42" fillId="8" borderId="1" xfId="0" applyNumberFormat="1" applyFont="1" applyFill="1" applyBorder="1" applyAlignment="1">
      <alignment horizontal="center" vertical="center" wrapText="1"/>
    </xf>
    <xf numFmtId="49" fontId="57" fillId="8" borderId="1" xfId="0" applyNumberFormat="1" applyFont="1" applyFill="1" applyBorder="1" applyAlignment="1">
      <alignment horizontal="center" vertical="center"/>
    </xf>
    <xf numFmtId="4" fontId="57" fillId="8" borderId="1" xfId="0" applyNumberFormat="1" applyFont="1" applyFill="1" applyBorder="1" applyAlignment="1">
      <alignment horizontal="center" vertical="center"/>
    </xf>
    <xf numFmtId="4" fontId="57" fillId="8" borderId="1" xfId="0" applyNumberFormat="1" applyFont="1" applyFill="1" applyBorder="1" applyAlignment="1">
      <alignment horizontal="left" vertical="center" wrapText="1"/>
    </xf>
    <xf numFmtId="49" fontId="8" fillId="8" borderId="1" xfId="0" applyNumberFormat="1" applyFont="1" applyFill="1" applyBorder="1" applyAlignment="1">
      <alignment vertical="top" wrapText="1"/>
    </xf>
    <xf numFmtId="1" fontId="8" fillId="8" borderId="1" xfId="0" applyNumberFormat="1" applyFont="1" applyFill="1" applyBorder="1" applyAlignment="1">
      <alignment horizontal="center" vertical="center"/>
    </xf>
    <xf numFmtId="3" fontId="8" fillId="8" borderId="1" xfId="0" applyNumberFormat="1" applyFont="1" applyFill="1" applyBorder="1" applyAlignment="1">
      <alignment horizontal="center" vertical="center"/>
    </xf>
    <xf numFmtId="0" fontId="57" fillId="8" borderId="1" xfId="0" applyFont="1" applyFill="1" applyBorder="1" applyAlignment="1">
      <alignment horizontal="center" vertical="center" wrapText="1"/>
    </xf>
    <xf numFmtId="186" fontId="57" fillId="8" borderId="1" xfId="0" applyNumberFormat="1" applyFont="1" applyFill="1" applyBorder="1" applyAlignment="1">
      <alignment horizontal="center" vertical="center"/>
    </xf>
    <xf numFmtId="3" fontId="8" fillId="8" borderId="1" xfId="12" applyNumberFormat="1" applyFont="1" applyFill="1" applyBorder="1" applyAlignment="1">
      <alignment horizontal="center" vertical="center"/>
    </xf>
    <xf numFmtId="0" fontId="42" fillId="8" borderId="2" xfId="0" applyFont="1" applyFill="1" applyBorder="1" applyAlignment="1">
      <alignment horizontal="center" vertical="top" wrapText="1"/>
    </xf>
    <xf numFmtId="0" fontId="8" fillId="8" borderId="5" xfId="0" applyFont="1" applyFill="1" applyBorder="1" applyAlignment="1">
      <alignment horizontal="left" vertical="center" wrapText="1"/>
    </xf>
    <xf numFmtId="0" fontId="8" fillId="8" borderId="12" xfId="0" applyFont="1" applyFill="1" applyBorder="1" applyAlignment="1">
      <alignment horizontal="left" vertical="center" wrapText="1"/>
    </xf>
    <xf numFmtId="49" fontId="13" fillId="8" borderId="2" xfId="0" applyNumberFormat="1" applyFont="1" applyFill="1" applyBorder="1" applyAlignment="1">
      <alignment horizontal="center" vertical="top"/>
    </xf>
    <xf numFmtId="49" fontId="13" fillId="8" borderId="1" xfId="0" applyNumberFormat="1" applyFont="1" applyFill="1" applyBorder="1" applyAlignment="1">
      <alignment horizontal="center" vertical="top"/>
    </xf>
    <xf numFmtId="0" fontId="13" fillId="8" borderId="1" xfId="0" applyFont="1" applyFill="1" applyBorder="1" applyAlignment="1">
      <alignment horizontal="left" vertical="top" wrapText="1" shrinkToFit="1"/>
    </xf>
    <xf numFmtId="4" fontId="13" fillId="8" borderId="1" xfId="0" applyNumberFormat="1" applyFont="1" applyFill="1" applyBorder="1" applyAlignment="1">
      <alignment vertical="top"/>
    </xf>
    <xf numFmtId="0" fontId="61" fillId="8" borderId="5" xfId="0" applyFont="1" applyFill="1" applyBorder="1" applyAlignment="1">
      <alignment vertical="top"/>
    </xf>
    <xf numFmtId="0" fontId="61" fillId="8" borderId="8" xfId="0" applyFont="1" applyFill="1" applyBorder="1" applyAlignment="1">
      <alignment vertical="top"/>
    </xf>
    <xf numFmtId="0" fontId="61" fillId="8" borderId="2" xfId="0" applyFont="1" applyFill="1" applyBorder="1" applyAlignment="1">
      <alignment vertical="top"/>
    </xf>
    <xf numFmtId="0" fontId="69" fillId="8" borderId="9" xfId="0" applyFont="1" applyFill="1" applyBorder="1" applyAlignment="1">
      <alignment horizontal="justify" vertical="center" wrapText="1"/>
    </xf>
    <xf numFmtId="0" fontId="13" fillId="8" borderId="1" xfId="0" applyFont="1" applyFill="1" applyBorder="1" applyAlignment="1">
      <alignment horizontal="center" vertical="top"/>
    </xf>
    <xf numFmtId="0" fontId="13" fillId="8" borderId="1" xfId="0" applyFont="1" applyFill="1" applyBorder="1" applyAlignment="1">
      <alignment horizontal="left" vertical="top"/>
    </xf>
    <xf numFmtId="0" fontId="13" fillId="8" borderId="4" xfId="0" applyFont="1" applyFill="1" applyBorder="1" applyAlignment="1">
      <alignment horizontal="center" vertical="center" wrapText="1"/>
    </xf>
    <xf numFmtId="0" fontId="13" fillId="8" borderId="4" xfId="0" applyFont="1" applyFill="1" applyBorder="1" applyAlignment="1">
      <alignment horizontal="right" vertical="center" wrapText="1"/>
    </xf>
    <xf numFmtId="4" fontId="62" fillId="0" borderId="0" xfId="0" applyNumberFormat="1" applyFont="1" applyAlignment="1">
      <alignment horizontal="right"/>
    </xf>
    <xf numFmtId="1" fontId="15" fillId="13" borderId="2" xfId="0" applyNumberFormat="1" applyFont="1" applyFill="1" applyBorder="1" applyAlignment="1">
      <alignment horizontal="center" vertical="center" wrapText="1"/>
    </xf>
    <xf numFmtId="3" fontId="20" fillId="5" borderId="0" xfId="0" applyNumberFormat="1" applyFont="1" applyFill="1"/>
    <xf numFmtId="0" fontId="140" fillId="0" borderId="1" xfId="0" applyFont="1" applyFill="1" applyBorder="1" applyAlignment="1">
      <alignment horizontal="left" vertical="center" wrapText="1"/>
    </xf>
    <xf numFmtId="0" fontId="141" fillId="8" borderId="1" xfId="0" applyFont="1" applyFill="1" applyBorder="1" applyAlignment="1">
      <alignment horizontal="left" vertical="center" wrapText="1"/>
    </xf>
    <xf numFmtId="1" fontId="15" fillId="13" borderId="13" xfId="0" applyNumberFormat="1" applyFont="1" applyFill="1" applyBorder="1" applyAlignment="1">
      <alignment vertical="center" wrapText="1"/>
    </xf>
    <xf numFmtId="1" fontId="15" fillId="0" borderId="2" xfId="0" applyNumberFormat="1" applyFont="1" applyFill="1" applyBorder="1" applyAlignment="1">
      <alignment vertical="center" wrapText="1"/>
    </xf>
    <xf numFmtId="1" fontId="15" fillId="0" borderId="1" xfId="0" applyNumberFormat="1" applyFont="1" applyFill="1" applyBorder="1" applyAlignment="1">
      <alignment vertical="center" wrapText="1"/>
    </xf>
    <xf numFmtId="186" fontId="98" fillId="0" borderId="0" xfId="0" applyNumberFormat="1" applyFont="1" applyFill="1" applyBorder="1"/>
    <xf numFmtId="0" fontId="98" fillId="0" borderId="0" xfId="0" applyFont="1" applyBorder="1"/>
    <xf numFmtId="0" fontId="98" fillId="8" borderId="1" xfId="0" applyFont="1" applyFill="1" applyBorder="1" applyAlignment="1">
      <alignment horizontal="left" vertical="center" wrapText="1"/>
    </xf>
    <xf numFmtId="0" fontId="8" fillId="8" borderId="5" xfId="1" applyFont="1" applyFill="1" applyBorder="1" applyAlignment="1">
      <alignment horizontal="center" vertical="center" wrapText="1"/>
    </xf>
    <xf numFmtId="0" fontId="8" fillId="8" borderId="8" xfId="1" applyFont="1" applyFill="1" applyBorder="1" applyAlignment="1">
      <alignment horizontal="center" vertical="center" wrapText="1"/>
    </xf>
    <xf numFmtId="0" fontId="8" fillId="8" borderId="2" xfId="1" applyFont="1" applyFill="1" applyBorder="1" applyAlignment="1">
      <alignment horizontal="center" vertical="center" wrapText="1"/>
    </xf>
    <xf numFmtId="0" fontId="13" fillId="13" borderId="2" xfId="1" applyFont="1" applyFill="1" applyBorder="1" applyAlignment="1">
      <alignment horizontal="left" vertical="center" wrapText="1"/>
    </xf>
    <xf numFmtId="49" fontId="13" fillId="13" borderId="2" xfId="0" applyNumberFormat="1" applyFont="1" applyFill="1" applyBorder="1" applyAlignment="1">
      <alignment horizontal="center" vertical="center" wrapText="1"/>
    </xf>
    <xf numFmtId="0" fontId="8" fillId="8" borderId="8" xfId="0" applyFont="1" applyFill="1" applyBorder="1" applyAlignment="1">
      <alignment horizontal="center" vertical="top" wrapText="1"/>
    </xf>
    <xf numFmtId="49" fontId="8" fillId="8" borderId="1" xfId="0" applyNumberFormat="1" applyFont="1" applyFill="1" applyBorder="1" applyAlignment="1">
      <alignment horizontal="center" vertical="top"/>
    </xf>
    <xf numFmtId="49" fontId="8" fillId="8" borderId="5" xfId="0" applyNumberFormat="1" applyFont="1" applyFill="1" applyBorder="1" applyAlignment="1">
      <alignment horizontal="center" vertical="top"/>
    </xf>
    <xf numFmtId="49" fontId="8" fillId="8" borderId="8" xfId="0" applyNumberFormat="1" applyFont="1" applyFill="1" applyBorder="1" applyAlignment="1">
      <alignment horizontal="center" vertical="top"/>
    </xf>
    <xf numFmtId="0" fontId="8" fillId="8" borderId="8" xfId="0" applyFont="1" applyFill="1" applyBorder="1" applyAlignment="1">
      <alignment vertical="top" wrapText="1" shrinkToFit="1"/>
    </xf>
    <xf numFmtId="4" fontId="8" fillId="0" borderId="3" xfId="0" applyNumberFormat="1" applyFont="1" applyFill="1" applyBorder="1" applyAlignment="1">
      <alignment vertical="top"/>
    </xf>
    <xf numFmtId="0" fontId="107" fillId="0" borderId="8" xfId="0" applyFont="1" applyBorder="1" applyAlignment="1">
      <alignment wrapText="1"/>
    </xf>
    <xf numFmtId="0" fontId="142" fillId="0" borderId="1" xfId="0" applyFont="1" applyFill="1" applyBorder="1" applyAlignment="1">
      <alignment horizontal="left" vertical="center" wrapText="1"/>
    </xf>
    <xf numFmtId="0" fontId="142" fillId="8" borderId="1" xfId="0" applyFont="1" applyFill="1" applyBorder="1" applyAlignment="1">
      <alignment horizontal="left" vertical="center" wrapText="1"/>
    </xf>
    <xf numFmtId="2" fontId="8" fillId="8" borderId="1" xfId="0" applyNumberFormat="1" applyFont="1" applyFill="1" applyBorder="1" applyAlignment="1">
      <alignment horizontal="center" vertical="center" wrapText="1"/>
    </xf>
    <xf numFmtId="2" fontId="8" fillId="8" borderId="1" xfId="9" applyNumberFormat="1" applyFont="1" applyFill="1" applyBorder="1" applyAlignment="1">
      <alignment horizontal="center" vertical="center" wrapText="1"/>
    </xf>
    <xf numFmtId="2" fontId="117" fillId="0" borderId="1" xfId="9" applyNumberFormat="1" applyFont="1" applyFill="1" applyBorder="1" applyAlignment="1">
      <alignment horizontal="center" vertical="center" wrapText="1"/>
    </xf>
    <xf numFmtId="2" fontId="117"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8" fillId="0" borderId="1" xfId="9" applyNumberFormat="1" applyFont="1" applyFill="1" applyBorder="1" applyAlignment="1">
      <alignment horizontal="center" vertical="center" wrapText="1"/>
    </xf>
    <xf numFmtId="186"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top" wrapText="1"/>
    </xf>
    <xf numFmtId="0" fontId="15" fillId="8" borderId="1" xfId="0" applyFont="1" applyFill="1" applyBorder="1" applyAlignment="1">
      <alignment horizontal="left" vertical="center" wrapText="1"/>
    </xf>
    <xf numFmtId="2" fontId="8" fillId="0" borderId="1" xfId="0" applyNumberFormat="1" applyFont="1" applyFill="1" applyBorder="1" applyAlignment="1">
      <alignment horizontal="center" vertical="center"/>
    </xf>
    <xf numFmtId="3" fontId="8" fillId="8" borderId="1" xfId="0" applyNumberFormat="1" applyFont="1" applyFill="1" applyBorder="1" applyAlignment="1">
      <alignment horizontal="left" vertical="center" wrapText="1"/>
    </xf>
    <xf numFmtId="0" fontId="57" fillId="8" borderId="1" xfId="0" applyFont="1" applyFill="1" applyBorder="1" applyAlignment="1">
      <alignment horizontal="left" vertical="center" wrapText="1"/>
    </xf>
    <xf numFmtId="0" fontId="57" fillId="0" borderId="1" xfId="0" applyFont="1" applyFill="1" applyBorder="1" applyAlignment="1">
      <alignment horizontal="left" vertical="center" wrapText="1"/>
    </xf>
    <xf numFmtId="186" fontId="8" fillId="8" borderId="1" xfId="0" applyNumberFormat="1" applyFont="1" applyFill="1" applyBorder="1" applyAlignment="1">
      <alignment horizontal="left" vertical="center" wrapText="1"/>
    </xf>
    <xf numFmtId="186" fontId="8" fillId="15" borderId="1" xfId="0" applyNumberFormat="1" applyFont="1" applyFill="1" applyBorder="1" applyAlignment="1">
      <alignment horizontal="left" vertical="center" wrapText="1"/>
    </xf>
    <xf numFmtId="2" fontId="8" fillId="8" borderId="5" xfId="9" applyNumberFormat="1" applyFont="1" applyFill="1" applyBorder="1" applyAlignment="1">
      <alignment horizontal="center" vertical="center" wrapText="1"/>
    </xf>
    <xf numFmtId="2" fontId="0" fillId="0" borderId="0" xfId="0" applyNumberFormat="1" applyFont="1" applyAlignment="1">
      <alignment horizontal="center" vertical="center"/>
    </xf>
    <xf numFmtId="0" fontId="8" fillId="12" borderId="1" xfId="0" applyFont="1" applyFill="1" applyBorder="1" applyAlignment="1">
      <alignment horizontal="left" vertical="center" wrapText="1"/>
    </xf>
    <xf numFmtId="2" fontId="8" fillId="12" borderId="1" xfId="9" applyNumberFormat="1" applyFont="1" applyFill="1" applyBorder="1" applyAlignment="1">
      <alignment horizontal="center" vertical="center" wrapText="1"/>
    </xf>
    <xf numFmtId="2" fontId="0" fillId="12" borderId="1" xfId="0" applyNumberFormat="1" applyFont="1" applyFill="1" applyBorder="1" applyAlignment="1">
      <alignment horizontal="center" vertical="center"/>
    </xf>
    <xf numFmtId="2" fontId="8" fillId="12"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8" borderId="0" xfId="5" applyFont="1" applyFill="1" applyBorder="1" applyAlignment="1">
      <alignment horizontal="left" wrapText="1"/>
    </xf>
    <xf numFmtId="0" fontId="8" fillId="8" borderId="0" xfId="0" applyFont="1" applyFill="1" applyAlignment="1">
      <alignment horizontal="left" wrapText="1"/>
    </xf>
    <xf numFmtId="0" fontId="98" fillId="8" borderId="0" xfId="0" applyFont="1" applyFill="1" applyAlignment="1">
      <alignment horizontal="left" wrapText="1"/>
    </xf>
    <xf numFmtId="3" fontId="8" fillId="0" borderId="2" xfId="0" applyNumberFormat="1" applyFont="1" applyBorder="1" applyAlignment="1">
      <alignment horizontal="center" vertical="center" wrapText="1"/>
    </xf>
    <xf numFmtId="0" fontId="8" fillId="0" borderId="8" xfId="0" applyFont="1" applyBorder="1" applyAlignment="1">
      <alignment horizontal="center" vertical="center" wrapText="1"/>
    </xf>
    <xf numFmtId="4" fontId="8" fillId="2" borderId="2" xfId="13" applyNumberFormat="1" applyFont="1" applyFill="1" applyBorder="1" applyAlignment="1">
      <alignment horizontal="right" vertical="center"/>
    </xf>
    <xf numFmtId="1" fontId="8" fillId="0" borderId="8" xfId="0" applyNumberFormat="1" applyFont="1" applyFill="1" applyBorder="1" applyAlignment="1">
      <alignment horizontal="center" vertical="center" wrapText="1"/>
    </xf>
    <xf numFmtId="0" fontId="15" fillId="8" borderId="1" xfId="0" applyFont="1" applyFill="1" applyBorder="1" applyAlignment="1">
      <alignment horizontal="justify" vertical="center" wrapText="1"/>
    </xf>
    <xf numFmtId="4" fontId="22" fillId="2" borderId="1" xfId="0" applyNumberFormat="1" applyFont="1" applyFill="1" applyBorder="1" applyAlignment="1">
      <alignment horizontal="left" vertical="center" wrapText="1"/>
    </xf>
    <xf numFmtId="4" fontId="22" fillId="8" borderId="1" xfId="0" applyNumberFormat="1" applyFont="1" applyFill="1" applyBorder="1" applyAlignment="1">
      <alignment horizontal="left" vertical="center" wrapText="1"/>
    </xf>
    <xf numFmtId="49" fontId="57" fillId="0" borderId="1" xfId="0" applyNumberFormat="1" applyFont="1" applyBorder="1" applyAlignment="1">
      <alignment horizontal="center" vertical="center"/>
    </xf>
    <xf numFmtId="1" fontId="33" fillId="0" borderId="1" xfId="0" applyNumberFormat="1" applyFont="1" applyFill="1" applyBorder="1" applyAlignment="1">
      <alignment horizontal="center" vertical="center"/>
    </xf>
    <xf numFmtId="0" fontId="1" fillId="0" borderId="1" xfId="5" applyFont="1" applyBorder="1"/>
    <xf numFmtId="4" fontId="1" fillId="0" borderId="1" xfId="5" applyNumberFormat="1" applyFont="1" applyBorder="1"/>
    <xf numFmtId="4" fontId="103" fillId="0" borderId="1" xfId="0" applyNumberFormat="1" applyFont="1" applyFill="1" applyBorder="1"/>
    <xf numFmtId="0" fontId="103" fillId="3" borderId="1" xfId="0" applyFont="1" applyFill="1" applyBorder="1"/>
    <xf numFmtId="0" fontId="1" fillId="12" borderId="0" xfId="0" applyFont="1" applyFill="1"/>
    <xf numFmtId="4" fontId="8" fillId="0" borderId="1" xfId="0" applyNumberFormat="1" applyFont="1" applyFill="1" applyBorder="1" applyAlignment="1">
      <alignment horizontal="right" vertical="center" wrapText="1" shrinkToFit="1"/>
    </xf>
    <xf numFmtId="3" fontId="8" fillId="0" borderId="1" xfId="0" applyNumberFormat="1" applyFont="1" applyFill="1" applyBorder="1" applyAlignment="1">
      <alignment horizontal="right" vertical="center" wrapText="1"/>
    </xf>
    <xf numFmtId="4" fontId="13" fillId="4" borderId="1" xfId="0" applyNumberFormat="1" applyFont="1" applyFill="1" applyBorder="1" applyAlignment="1">
      <alignment horizontal="right" vertical="center"/>
    </xf>
    <xf numFmtId="4" fontId="8" fillId="8" borderId="1" xfId="0" applyNumberFormat="1" applyFont="1" applyFill="1" applyBorder="1" applyAlignment="1">
      <alignment horizontal="right" vertical="center"/>
    </xf>
    <xf numFmtId="4" fontId="8" fillId="8" borderId="1" xfId="6" applyNumberFormat="1" applyFont="1" applyFill="1" applyBorder="1" applyAlignment="1">
      <alignment horizontal="right" vertical="center" wrapText="1"/>
    </xf>
    <xf numFmtId="4" fontId="13" fillId="4" borderId="3" xfId="0" applyNumberFormat="1" applyFont="1" applyFill="1" applyBorder="1" applyAlignment="1">
      <alignment horizontal="right" vertical="top"/>
    </xf>
    <xf numFmtId="4" fontId="8" fillId="2" borderId="1" xfId="0" applyNumberFormat="1" applyFont="1" applyFill="1" applyBorder="1" applyAlignment="1">
      <alignment horizontal="right" vertical="center" wrapText="1" shrinkToFit="1"/>
    </xf>
    <xf numFmtId="4" fontId="8" fillId="0" borderId="2" xfId="0" applyNumberFormat="1" applyFont="1" applyFill="1" applyBorder="1" applyAlignment="1">
      <alignment horizontal="right" vertical="center"/>
    </xf>
    <xf numFmtId="4" fontId="98" fillId="0" borderId="1" xfId="0" applyNumberFormat="1" applyFont="1" applyFill="1" applyBorder="1" applyAlignment="1">
      <alignment horizontal="right" vertical="center" wrapText="1"/>
    </xf>
    <xf numFmtId="4" fontId="98" fillId="8" borderId="1" xfId="0" applyNumberFormat="1" applyFont="1" applyFill="1" applyBorder="1" applyAlignment="1">
      <alignment horizontal="right" vertical="center" wrapText="1"/>
    </xf>
    <xf numFmtId="4" fontId="98" fillId="8" borderId="1" xfId="0" applyNumberFormat="1" applyFont="1" applyFill="1" applyBorder="1" applyAlignment="1">
      <alignment horizontal="right" vertical="center"/>
    </xf>
    <xf numFmtId="3" fontId="13" fillId="0" borderId="1" xfId="0" applyNumberFormat="1" applyFont="1" applyBorder="1" applyAlignment="1">
      <alignment vertical="center" wrapText="1"/>
    </xf>
    <xf numFmtId="4" fontId="13" fillId="0" borderId="1" xfId="0" applyNumberFormat="1" applyFont="1" applyBorder="1" applyAlignment="1">
      <alignment horizontal="right" vertical="center" wrapText="1"/>
    </xf>
    <xf numFmtId="4" fontId="57" fillId="0" borderId="1" xfId="0" applyNumberFormat="1" applyFont="1" applyFill="1" applyBorder="1" applyAlignment="1">
      <alignment horizontal="right" vertical="center"/>
    </xf>
    <xf numFmtId="4" fontId="140" fillId="0" borderId="1" xfId="9" applyNumberFormat="1" applyFont="1" applyFill="1" applyBorder="1" applyAlignment="1">
      <alignment horizontal="right" vertical="center" wrapText="1"/>
    </xf>
    <xf numFmtId="3" fontId="13" fillId="13" borderId="2" xfId="1" applyNumberFormat="1" applyFont="1" applyFill="1" applyBorder="1" applyAlignment="1">
      <alignment horizontal="center" vertical="center" wrapText="1"/>
    </xf>
    <xf numFmtId="1" fontId="15" fillId="13" borderId="9" xfId="0" applyNumberFormat="1" applyFont="1" applyFill="1" applyBorder="1" applyAlignment="1">
      <alignment horizontal="center" wrapText="1"/>
    </xf>
    <xf numFmtId="0" fontId="98" fillId="0" borderId="0" xfId="0" applyFont="1" applyFill="1"/>
    <xf numFmtId="1" fontId="98" fillId="0" borderId="0" xfId="0" applyNumberFormat="1" applyFont="1" applyFill="1"/>
    <xf numFmtId="0" fontId="117" fillId="0" borderId="1" xfId="7" applyFont="1" applyFill="1" applyBorder="1" applyAlignment="1">
      <alignment horizontal="left" vertical="center" wrapText="1"/>
    </xf>
    <xf numFmtId="0" fontId="10" fillId="0" borderId="0" xfId="0" applyFont="1" applyAlignment="1">
      <alignment horizontal="center" wrapText="1"/>
    </xf>
    <xf numFmtId="0" fontId="10" fillId="0" borderId="0" xfId="0" applyFont="1" applyFill="1" applyAlignment="1">
      <alignment horizontal="center" wrapText="1"/>
    </xf>
    <xf numFmtId="1" fontId="15" fillId="13" borderId="3" xfId="0" applyNumberFormat="1" applyFont="1" applyFill="1" applyBorder="1" applyAlignment="1">
      <alignment horizontal="center" vertical="center" wrapText="1"/>
    </xf>
    <xf numFmtId="0" fontId="0" fillId="0" borderId="5" xfId="0" applyFont="1" applyFill="1" applyBorder="1" applyAlignment="1">
      <alignment horizontal="center"/>
    </xf>
    <xf numFmtId="49" fontId="13" fillId="13" borderId="5" xfId="1" applyNumberFormat="1" applyFont="1" applyFill="1" applyBorder="1" applyAlignment="1">
      <alignment horizontal="center" vertical="center" wrapText="1"/>
    </xf>
    <xf numFmtId="0" fontId="13" fillId="13" borderId="5" xfId="1" applyFont="1" applyFill="1" applyBorder="1" applyAlignment="1">
      <alignment horizontal="center" vertical="center" wrapText="1"/>
    </xf>
    <xf numFmtId="1" fontId="15" fillId="13" borderId="1" xfId="0" applyNumberFormat="1" applyFont="1" applyFill="1" applyBorder="1" applyAlignment="1">
      <alignment horizontal="center" vertical="center" wrapText="1"/>
    </xf>
    <xf numFmtId="0" fontId="8" fillId="8" borderId="1" xfId="0" applyFont="1" applyFill="1" applyBorder="1" applyAlignment="1">
      <alignment horizontal="left" vertical="top" wrapText="1"/>
    </xf>
    <xf numFmtId="49" fontId="107" fillId="0" borderId="8" xfId="0" applyNumberFormat="1" applyFont="1" applyFill="1" applyBorder="1" applyAlignment="1">
      <alignment horizontal="center" vertical="top"/>
    </xf>
    <xf numFmtId="0" fontId="8" fillId="0" borderId="0" xfId="5" applyFont="1" applyBorder="1" applyAlignment="1">
      <alignment vertical="center" wrapText="1"/>
    </xf>
    <xf numFmtId="0" fontId="8" fillId="0" borderId="1" xfId="8" applyFont="1" applyFill="1" applyBorder="1" applyAlignment="1">
      <alignment horizontal="left" vertical="center" wrapText="1"/>
    </xf>
    <xf numFmtId="0" fontId="134" fillId="0" borderId="0" xfId="0" applyFont="1" applyBorder="1"/>
    <xf numFmtId="3" fontId="13" fillId="13" borderId="8" xfId="1" applyNumberFormat="1"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0" borderId="4" xfId="0" applyFont="1" applyFill="1" applyBorder="1" applyAlignment="1">
      <alignment horizontal="center" vertical="center" wrapText="1"/>
    </xf>
    <xf numFmtId="3" fontId="8" fillId="0" borderId="0" xfId="13" applyNumberFormat="1" applyFont="1" applyFill="1" applyBorder="1" applyAlignment="1">
      <alignment vertical="center"/>
    </xf>
    <xf numFmtId="3" fontId="80" fillId="0" borderId="0" xfId="0" applyNumberFormat="1" applyFont="1" applyFill="1"/>
    <xf numFmtId="4" fontId="15" fillId="0" borderId="1" xfId="5" applyNumberFormat="1" applyFont="1" applyFill="1" applyBorder="1"/>
    <xf numFmtId="0" fontId="23" fillId="0" borderId="1" xfId="5" applyFont="1" applyBorder="1" applyAlignment="1">
      <alignment horizontal="left" wrapText="1"/>
    </xf>
    <xf numFmtId="0" fontId="23" fillId="0" borderId="1" xfId="5" applyFont="1" applyBorder="1" applyAlignment="1">
      <alignment wrapText="1"/>
    </xf>
    <xf numFmtId="49" fontId="117" fillId="0" borderId="1" xfId="0" applyNumberFormat="1" applyFont="1" applyFill="1" applyBorder="1" applyAlignment="1">
      <alignment horizontal="left" vertical="center" wrapText="1"/>
    </xf>
    <xf numFmtId="0" fontId="117" fillId="0" borderId="1" xfId="0" applyFont="1" applyBorder="1" applyAlignment="1">
      <alignment horizontal="left" vertical="center" wrapText="1"/>
    </xf>
    <xf numFmtId="0" fontId="10" fillId="14" borderId="3" xfId="1" applyFont="1" applyFill="1" applyBorder="1" applyAlignment="1">
      <alignment vertical="center" wrapText="1"/>
    </xf>
    <xf numFmtId="0" fontId="10" fillId="14" borderId="9" xfId="1" applyFont="1" applyFill="1" applyBorder="1" applyAlignment="1">
      <alignment vertical="center" wrapText="1"/>
    </xf>
    <xf numFmtId="0" fontId="10" fillId="14" borderId="4" xfId="1" applyFont="1" applyFill="1" applyBorder="1" applyAlignment="1">
      <alignment vertical="center" wrapText="1"/>
    </xf>
    <xf numFmtId="4" fontId="36" fillId="4" borderId="1" xfId="0" applyNumberFormat="1" applyFont="1" applyFill="1" applyBorder="1" applyAlignment="1">
      <alignment vertical="top"/>
    </xf>
    <xf numFmtId="4" fontId="92" fillId="0" borderId="1" xfId="0" applyNumberFormat="1" applyFont="1" applyFill="1" applyBorder="1" applyAlignment="1">
      <alignment vertical="top"/>
    </xf>
    <xf numFmtId="4" fontId="92" fillId="2" borderId="1" xfId="0" applyNumberFormat="1" applyFont="1" applyFill="1" applyBorder="1" applyAlignment="1">
      <alignment vertical="top"/>
    </xf>
    <xf numFmtId="4" fontId="92" fillId="2" borderId="1" xfId="0" applyNumberFormat="1" applyFont="1" applyFill="1" applyBorder="1" applyAlignment="1">
      <alignment vertical="top" wrapText="1"/>
    </xf>
    <xf numFmtId="4" fontId="93" fillId="2" borderId="1" xfId="0" applyNumberFormat="1" applyFont="1" applyFill="1" applyBorder="1" applyAlignment="1">
      <alignment vertical="top"/>
    </xf>
    <xf numFmtId="4" fontId="36" fillId="2" borderId="1" xfId="0" applyNumberFormat="1" applyFont="1" applyFill="1" applyBorder="1" applyAlignment="1">
      <alignment vertical="top"/>
    </xf>
    <xf numFmtId="4" fontId="9" fillId="2" borderId="1" xfId="0" applyNumberFormat="1" applyFont="1" applyFill="1" applyBorder="1" applyAlignment="1">
      <alignment vertical="top"/>
    </xf>
    <xf numFmtId="4" fontId="9" fillId="2" borderId="1" xfId="0" applyNumberFormat="1" applyFont="1" applyFill="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24" fillId="0" borderId="17" xfId="0" applyFont="1" applyBorder="1" applyAlignment="1">
      <alignment horizontal="center" vertical="top" wrapText="1"/>
    </xf>
    <xf numFmtId="49" fontId="24" fillId="0" borderId="17" xfId="0" applyNumberFormat="1" applyFont="1" applyBorder="1" applyAlignment="1">
      <alignment horizontal="center" vertical="top" wrapText="1"/>
    </xf>
    <xf numFmtId="0" fontId="24" fillId="0" borderId="1" xfId="0" applyFont="1" applyBorder="1" applyAlignment="1">
      <alignment horizontal="center" vertical="top" wrapText="1"/>
    </xf>
    <xf numFmtId="0" fontId="24" fillId="0" borderId="0" xfId="0" applyFont="1" applyBorder="1" applyAlignment="1">
      <alignment horizontal="center" vertical="top" wrapText="1"/>
    </xf>
    <xf numFmtId="4" fontId="8" fillId="13" borderId="1" xfId="1" applyNumberFormat="1" applyFont="1" applyFill="1" applyBorder="1" applyAlignment="1">
      <alignment horizontal="right" vertical="center" wrapText="1"/>
    </xf>
    <xf numFmtId="0" fontId="10" fillId="14" borderId="3" xfId="0" applyFont="1" applyFill="1" applyBorder="1" applyAlignment="1">
      <alignment vertical="top" wrapText="1"/>
    </xf>
    <xf numFmtId="0" fontId="10" fillId="14" borderId="9" xfId="0" applyFont="1" applyFill="1" applyBorder="1" applyAlignment="1">
      <alignment vertical="top" wrapText="1"/>
    </xf>
    <xf numFmtId="4" fontId="13" fillId="13" borderId="10" xfId="1" applyNumberFormat="1" applyFont="1" applyFill="1" applyBorder="1" applyAlignment="1">
      <alignment horizontal="right" vertical="center" wrapText="1"/>
    </xf>
    <xf numFmtId="4" fontId="13" fillId="13" borderId="6" xfId="0" applyNumberFormat="1" applyFont="1" applyFill="1" applyBorder="1" applyAlignment="1">
      <alignment horizontal="right" vertical="center"/>
    </xf>
    <xf numFmtId="4" fontId="13" fillId="13" borderId="8" xfId="0" applyNumberFormat="1" applyFont="1" applyFill="1" applyBorder="1" applyAlignment="1">
      <alignment horizontal="right" vertical="center"/>
    </xf>
    <xf numFmtId="4" fontId="13" fillId="13" borderId="2" xfId="0" applyNumberFormat="1" applyFont="1" applyFill="1" applyBorder="1" applyAlignment="1">
      <alignment horizontal="right" vertical="center"/>
    </xf>
    <xf numFmtId="4" fontId="13" fillId="13" borderId="6" xfId="0" applyNumberFormat="1" applyFont="1" applyFill="1" applyBorder="1" applyAlignment="1">
      <alignment horizontal="right" vertical="center" wrapText="1"/>
    </xf>
    <xf numFmtId="4" fontId="13" fillId="13" borderId="8" xfId="0" applyNumberFormat="1" applyFont="1" applyFill="1" applyBorder="1" applyAlignment="1">
      <alignment horizontal="right" vertical="center" wrapText="1"/>
    </xf>
    <xf numFmtId="4" fontId="13" fillId="13" borderId="10" xfId="0" applyNumberFormat="1" applyFont="1" applyFill="1" applyBorder="1" applyAlignment="1">
      <alignment horizontal="right" vertical="center" wrapText="1"/>
    </xf>
    <xf numFmtId="4" fontId="13" fillId="13" borderId="8" xfId="1" applyNumberFormat="1" applyFont="1" applyFill="1" applyBorder="1" applyAlignment="1">
      <alignment horizontal="right" vertical="center" wrapText="1"/>
    </xf>
    <xf numFmtId="4" fontId="13" fillId="13" borderId="2" xfId="1" applyNumberFormat="1" applyFont="1" applyFill="1" applyBorder="1" applyAlignment="1">
      <alignment horizontal="right" vertical="center" wrapText="1"/>
    </xf>
    <xf numFmtId="4" fontId="15" fillId="0" borderId="10" xfId="0" applyNumberFormat="1" applyFont="1" applyFill="1" applyBorder="1" applyAlignment="1">
      <alignment horizontal="right"/>
    </xf>
    <xf numFmtId="4" fontId="13" fillId="13" borderId="10" xfId="0" applyNumberFormat="1" applyFont="1" applyFill="1" applyBorder="1" applyAlignment="1">
      <alignment horizontal="right" vertical="center"/>
    </xf>
    <xf numFmtId="4" fontId="13" fillId="13" borderId="15" xfId="0" applyNumberFormat="1" applyFont="1" applyFill="1" applyBorder="1" applyAlignment="1">
      <alignment horizontal="right" vertical="center"/>
    </xf>
    <xf numFmtId="4" fontId="15" fillId="0" borderId="2" xfId="0" applyNumberFormat="1" applyFont="1" applyFill="1" applyBorder="1" applyAlignment="1">
      <alignment horizontal="right"/>
    </xf>
    <xf numFmtId="4" fontId="10" fillId="14" borderId="3" xfId="0" applyNumberFormat="1" applyFont="1" applyFill="1" applyBorder="1" applyAlignment="1">
      <alignment horizontal="right"/>
    </xf>
    <xf numFmtId="4" fontId="13" fillId="13" borderId="3" xfId="0" applyNumberFormat="1" applyFont="1" applyFill="1" applyBorder="1" applyAlignment="1">
      <alignment horizontal="right"/>
    </xf>
    <xf numFmtId="4" fontId="8" fillId="13" borderId="1" xfId="0" applyNumberFormat="1" applyFont="1" applyFill="1" applyBorder="1"/>
    <xf numFmtId="1" fontId="15" fillId="13" borderId="1" xfId="0" applyNumberFormat="1" applyFont="1" applyFill="1" applyBorder="1" applyAlignment="1">
      <alignment horizontal="center" vertical="top" wrapText="1"/>
    </xf>
    <xf numFmtId="4" fontId="15" fillId="13" borderId="1" xfId="0" applyNumberFormat="1" applyFont="1" applyFill="1" applyBorder="1" applyAlignment="1">
      <alignment horizontal="right" vertical="top" wrapText="1"/>
    </xf>
    <xf numFmtId="4" fontId="15" fillId="0" borderId="2" xfId="0" applyNumberFormat="1" applyFont="1" applyFill="1" applyBorder="1"/>
    <xf numFmtId="4" fontId="15" fillId="13" borderId="1" xfId="0" applyNumberFormat="1" applyFont="1" applyFill="1" applyBorder="1" applyAlignment="1">
      <alignment horizontal="center" vertical="center" wrapText="1"/>
    </xf>
    <xf numFmtId="4" fontId="15" fillId="13" borderId="3" xfId="0" applyNumberFormat="1" applyFont="1" applyFill="1" applyBorder="1" applyAlignment="1">
      <alignment horizontal="center" vertical="center" wrapText="1"/>
    </xf>
    <xf numFmtId="4" fontId="15" fillId="13" borderId="3" xfId="0" applyNumberFormat="1" applyFont="1" applyFill="1" applyBorder="1" applyAlignment="1">
      <alignment horizontal="right" vertical="top" wrapText="1"/>
    </xf>
    <xf numFmtId="4" fontId="15" fillId="0" borderId="3" xfId="0" applyNumberFormat="1" applyFont="1" applyFill="1" applyBorder="1" applyAlignment="1">
      <alignment vertical="top" wrapText="1"/>
    </xf>
    <xf numFmtId="4" fontId="15" fillId="0" borderId="4" xfId="0" applyNumberFormat="1" applyFont="1" applyFill="1" applyBorder="1" applyAlignment="1">
      <alignment vertical="top" wrapText="1"/>
    </xf>
    <xf numFmtId="0" fontId="15" fillId="0" borderId="4" xfId="0" applyFont="1" applyFill="1" applyBorder="1" applyAlignment="1">
      <alignment vertical="top" wrapText="1"/>
    </xf>
    <xf numFmtId="4" fontId="15" fillId="0" borderId="3" xfId="0" applyNumberFormat="1" applyFont="1" applyFill="1" applyBorder="1" applyAlignment="1"/>
    <xf numFmtId="4" fontId="19" fillId="13" borderId="3" xfId="0" applyNumberFormat="1" applyFont="1" applyFill="1" applyBorder="1" applyAlignment="1"/>
    <xf numFmtId="4" fontId="13" fillId="13" borderId="10" xfId="0" applyNumberFormat="1" applyFont="1" applyFill="1" applyBorder="1" applyAlignment="1">
      <alignment vertical="center"/>
    </xf>
    <xf numFmtId="4" fontId="15" fillId="0" borderId="2" xfId="0" applyNumberFormat="1" applyFont="1" applyFill="1" applyBorder="1" applyAlignment="1"/>
    <xf numFmtId="4" fontId="117" fillId="8" borderId="1" xfId="0" applyNumberFormat="1" applyFont="1" applyFill="1" applyBorder="1" applyAlignment="1">
      <alignment horizontal="right" vertical="center"/>
    </xf>
    <xf numFmtId="4" fontId="117" fillId="8" borderId="1" xfId="0" applyNumberFormat="1" applyFont="1" applyFill="1" applyBorder="1" applyAlignment="1">
      <alignment horizontal="left" vertical="top" wrapText="1"/>
    </xf>
    <xf numFmtId="0" fontId="140" fillId="0" borderId="1" xfId="0" applyFont="1" applyBorder="1" applyAlignment="1">
      <alignment horizontal="left" wrapText="1"/>
    </xf>
    <xf numFmtId="4" fontId="98" fillId="8" borderId="1" xfId="0" applyNumberFormat="1" applyFont="1" applyFill="1" applyBorder="1" applyAlignment="1">
      <alignment horizontal="left" vertical="top" wrapText="1"/>
    </xf>
    <xf numFmtId="0" fontId="117" fillId="0" borderId="1" xfId="0" applyFont="1" applyFill="1" applyBorder="1" applyAlignment="1">
      <alignment horizontal="left" vertical="top" wrapText="1"/>
    </xf>
    <xf numFmtId="0" fontId="117" fillId="8" borderId="1" xfId="0" applyFont="1" applyFill="1" applyBorder="1" applyAlignment="1">
      <alignment horizontal="left" vertical="top" wrapText="1"/>
    </xf>
    <xf numFmtId="0" fontId="13" fillId="13" borderId="5" xfId="1" applyFont="1" applyFill="1" applyBorder="1" applyAlignment="1">
      <alignment vertical="center" wrapText="1"/>
    </xf>
    <xf numFmtId="0" fontId="13" fillId="13" borderId="8" xfId="1" applyFont="1" applyFill="1" applyBorder="1" applyAlignment="1">
      <alignment vertical="center" wrapText="1"/>
    </xf>
    <xf numFmtId="1" fontId="15" fillId="13" borderId="0" xfId="0" applyNumberFormat="1" applyFont="1" applyFill="1" applyBorder="1" applyAlignment="1">
      <alignment vertical="center" wrapText="1"/>
    </xf>
    <xf numFmtId="0" fontId="13" fillId="13" borderId="2" xfId="1" applyFont="1" applyFill="1" applyBorder="1" applyAlignment="1">
      <alignment vertical="center" wrapText="1"/>
    </xf>
    <xf numFmtId="1" fontId="15" fillId="13" borderId="11" xfId="0" applyNumberFormat="1" applyFont="1" applyFill="1" applyBorder="1" applyAlignment="1">
      <alignment vertical="center" wrapText="1"/>
    </xf>
    <xf numFmtId="4" fontId="99" fillId="4" borderId="1" xfId="0" applyNumberFormat="1" applyFont="1" applyFill="1" applyBorder="1" applyAlignment="1">
      <alignment horizontal="right" vertical="top" wrapText="1" shrinkToFit="1"/>
    </xf>
    <xf numFmtId="4" fontId="27" fillId="9" borderId="1" xfId="0" applyNumberFormat="1" applyFont="1" applyFill="1" applyBorder="1" applyAlignment="1">
      <alignment horizontal="right" vertical="center"/>
    </xf>
    <xf numFmtId="4" fontId="99" fillId="9" borderId="1" xfId="6" applyNumberFormat="1" applyFont="1" applyFill="1" applyBorder="1" applyAlignment="1">
      <alignment vertical="center" wrapText="1"/>
    </xf>
    <xf numFmtId="4" fontId="99" fillId="8" borderId="1" xfId="6" applyNumberFormat="1" applyFont="1" applyFill="1" applyBorder="1" applyAlignment="1">
      <alignment vertical="center" wrapText="1"/>
    </xf>
    <xf numFmtId="4" fontId="117" fillId="8" borderId="1" xfId="6" applyNumberFormat="1" applyFont="1" applyFill="1" applyBorder="1" applyAlignment="1">
      <alignment vertical="center" wrapText="1"/>
    </xf>
    <xf numFmtId="0" fontId="99" fillId="4" borderId="1" xfId="0" applyFont="1" applyFill="1" applyBorder="1" applyAlignment="1">
      <alignment vertical="top" wrapText="1" shrinkToFit="1"/>
    </xf>
    <xf numFmtId="0" fontId="8" fillId="0" borderId="0" xfId="0" applyFont="1" applyBorder="1" applyAlignment="1">
      <alignment horizontal="center" vertical="top" wrapText="1"/>
    </xf>
    <xf numFmtId="49" fontId="36" fillId="0" borderId="0" xfId="0" applyNumberFormat="1" applyFont="1" applyFill="1" applyAlignment="1">
      <alignment horizontal="center"/>
    </xf>
    <xf numFmtId="49" fontId="36" fillId="0" borderId="1" xfId="0" applyNumberFormat="1" applyFont="1" applyFill="1" applyBorder="1" applyAlignment="1">
      <alignment horizontal="center" vertical="top" wrapText="1"/>
    </xf>
    <xf numFmtId="49" fontId="36" fillId="0" borderId="1" xfId="0" applyNumberFormat="1" applyFont="1" applyFill="1" applyBorder="1" applyAlignment="1">
      <alignment horizontal="center" vertical="center" wrapText="1"/>
    </xf>
    <xf numFmtId="49" fontId="99" fillId="4" borderId="1" xfId="0" applyNumberFormat="1" applyFont="1" applyFill="1" applyBorder="1" applyAlignment="1">
      <alignment horizontal="center" vertical="top" wrapText="1" shrinkToFit="1"/>
    </xf>
    <xf numFmtId="49" fontId="143" fillId="9" borderId="1" xfId="6" applyNumberFormat="1" applyFont="1" applyFill="1" applyBorder="1" applyAlignment="1">
      <alignment horizontal="center" vertical="center"/>
    </xf>
    <xf numFmtId="49" fontId="36" fillId="0" borderId="1" xfId="7"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xf>
    <xf numFmtId="49" fontId="99" fillId="4" borderId="1" xfId="0" applyNumberFormat="1" applyFont="1" applyFill="1" applyBorder="1" applyAlignment="1">
      <alignment horizontal="center" vertical="center" wrapText="1" shrinkToFit="1"/>
    </xf>
    <xf numFmtId="49" fontId="36" fillId="0" borderId="1" xfId="9" applyNumberFormat="1" applyFont="1" applyFill="1" applyBorder="1" applyAlignment="1">
      <alignment horizontal="center" vertical="center" wrapText="1"/>
    </xf>
    <xf numFmtId="49" fontId="143" fillId="9" borderId="1" xfId="6" applyNumberFormat="1" applyFont="1" applyFill="1" applyBorder="1" applyAlignment="1">
      <alignment horizontal="center" vertical="center" wrapText="1"/>
    </xf>
    <xf numFmtId="49" fontId="143" fillId="8" borderId="1" xfId="6" applyNumberFormat="1" applyFont="1" applyFill="1" applyBorder="1" applyAlignment="1">
      <alignment horizontal="center" vertical="center" wrapText="1"/>
    </xf>
    <xf numFmtId="49" fontId="94" fillId="0" borderId="1" xfId="0" applyNumberFormat="1" applyFont="1" applyFill="1" applyBorder="1" applyAlignment="1">
      <alignment horizontal="center" vertical="center" wrapText="1"/>
    </xf>
    <xf numFmtId="49" fontId="144" fillId="0" borderId="0" xfId="0" applyNumberFormat="1" applyFont="1" applyFill="1" applyAlignment="1">
      <alignment horizontal="center"/>
    </xf>
    <xf numFmtId="49" fontId="36" fillId="0" borderId="0" xfId="0" applyNumberFormat="1" applyFont="1" applyAlignment="1">
      <alignment horizontal="center"/>
    </xf>
    <xf numFmtId="49" fontId="55" fillId="0" borderId="0" xfId="0" applyNumberFormat="1" applyFont="1" applyFill="1" applyAlignment="1">
      <alignment horizontal="center"/>
    </xf>
    <xf numFmtId="0" fontId="9" fillId="0" borderId="0" xfId="0" applyFont="1"/>
    <xf numFmtId="4" fontId="8" fillId="8" borderId="1" xfId="0" applyNumberFormat="1" applyFont="1" applyFill="1" applyBorder="1" applyAlignment="1">
      <alignment vertical="center"/>
    </xf>
    <xf numFmtId="0" fontId="15" fillId="0" borderId="5" xfId="0" applyFont="1" applyFill="1" applyBorder="1" applyAlignment="1">
      <alignment vertical="top" wrapText="1" shrinkToFit="1"/>
    </xf>
    <xf numFmtId="0" fontId="77" fillId="8" borderId="1" xfId="6" applyFont="1" applyFill="1" applyBorder="1" applyAlignment="1">
      <alignment vertical="top" wrapText="1"/>
    </xf>
    <xf numFmtId="0" fontId="23" fillId="4" borderId="1" xfId="0" applyFont="1" applyFill="1" applyBorder="1" applyAlignment="1">
      <alignment vertical="top" wrapText="1" shrinkToFit="1"/>
    </xf>
    <xf numFmtId="0" fontId="107" fillId="0" borderId="1" xfId="0" applyFont="1" applyFill="1" applyBorder="1" applyAlignment="1">
      <alignment vertical="top" wrapText="1" shrinkToFit="1"/>
    </xf>
    <xf numFmtId="0" fontId="24" fillId="0" borderId="5" xfId="0" applyFont="1" applyBorder="1" applyAlignment="1">
      <alignment vertical="top" wrapText="1"/>
    </xf>
    <xf numFmtId="0" fontId="22" fillId="0" borderId="1" xfId="0" applyFont="1" applyFill="1" applyBorder="1" applyAlignment="1">
      <alignment vertical="top" wrapText="1" shrinkToFit="1"/>
    </xf>
    <xf numFmtId="0" fontId="78" fillId="0" borderId="1" xfId="0" applyFont="1" applyBorder="1" applyAlignment="1">
      <alignment vertical="top" wrapText="1"/>
    </xf>
    <xf numFmtId="186" fontId="15" fillId="8" borderId="1" xfId="0" applyNumberFormat="1" applyFont="1" applyFill="1" applyBorder="1" applyAlignment="1">
      <alignment vertical="top" wrapText="1"/>
    </xf>
    <xf numFmtId="186" fontId="15" fillId="0" borderId="1" xfId="0" applyNumberFormat="1" applyFont="1" applyFill="1" applyBorder="1" applyAlignment="1">
      <alignment vertical="top" wrapText="1" shrinkToFit="1"/>
    </xf>
    <xf numFmtId="186" fontId="15" fillId="0" borderId="3" xfId="0" applyNumberFormat="1" applyFont="1" applyFill="1" applyBorder="1" applyAlignment="1">
      <alignment vertical="top" wrapText="1" shrinkToFit="1"/>
    </xf>
    <xf numFmtId="0" fontId="52" fillId="4" borderId="1" xfId="0" applyFont="1" applyFill="1" applyBorder="1" applyAlignment="1">
      <alignment vertical="top" wrapText="1" shrinkToFit="1"/>
    </xf>
    <xf numFmtId="0" fontId="8" fillId="0" borderId="0" xfId="0" applyFont="1" applyAlignment="1">
      <alignment vertical="top" wrapText="1"/>
    </xf>
    <xf numFmtId="0" fontId="15" fillId="0" borderId="0" xfId="0" applyFont="1" applyAlignment="1">
      <alignment vertical="top" wrapText="1"/>
    </xf>
    <xf numFmtId="0" fontId="33" fillId="2" borderId="10" xfId="6" applyFont="1" applyFill="1" applyBorder="1" applyAlignment="1">
      <alignment vertical="top" wrapText="1"/>
    </xf>
    <xf numFmtId="0" fontId="8" fillId="0" borderId="1" xfId="0" applyFont="1" applyBorder="1" applyAlignment="1">
      <alignment vertical="top" wrapText="1"/>
    </xf>
    <xf numFmtId="0" fontId="78" fillId="0" borderId="1" xfId="0" applyFont="1" applyFill="1" applyBorder="1" applyAlignment="1">
      <alignment vertical="top" wrapText="1" shrinkToFit="1"/>
    </xf>
    <xf numFmtId="3" fontId="134" fillId="8" borderId="2" xfId="0" applyNumberFormat="1" applyFont="1" applyFill="1" applyBorder="1"/>
    <xf numFmtId="0" fontId="0" fillId="8" borderId="2" xfId="0" applyFont="1" applyFill="1" applyBorder="1"/>
    <xf numFmtId="0" fontId="89" fillId="8" borderId="0" xfId="1" applyFont="1" applyFill="1" applyBorder="1" applyAlignment="1">
      <alignment vertical="center" wrapText="1"/>
    </xf>
    <xf numFmtId="1" fontId="15" fillId="0" borderId="3"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13" borderId="9" xfId="0" applyNumberFormat="1" applyFont="1" applyFill="1" applyBorder="1" applyAlignment="1">
      <alignment horizontal="center" wrapText="1"/>
    </xf>
    <xf numFmtId="1" fontId="15" fillId="13" borderId="4" xfId="0" applyNumberFormat="1" applyFont="1" applyFill="1" applyBorder="1" applyAlignment="1">
      <alignment horizontal="center" wrapText="1"/>
    </xf>
    <xf numFmtId="3" fontId="15" fillId="0" borderId="9" xfId="0" applyNumberFormat="1" applyFont="1" applyFill="1" applyBorder="1" applyAlignment="1">
      <alignment horizontal="right"/>
    </xf>
    <xf numFmtId="3" fontId="15" fillId="0" borderId="13" xfId="0" applyNumberFormat="1" applyFont="1" applyFill="1" applyBorder="1" applyAlignment="1">
      <alignment horizontal="right"/>
    </xf>
    <xf numFmtId="3" fontId="15" fillId="0" borderId="12" xfId="0" applyNumberFormat="1" applyFont="1" applyFill="1" applyBorder="1" applyAlignment="1">
      <alignment horizontal="right"/>
    </xf>
    <xf numFmtId="3" fontId="15" fillId="13" borderId="14" xfId="0" applyNumberFormat="1" applyFont="1" applyFill="1" applyBorder="1" applyAlignment="1">
      <alignment horizontal="center" vertical="center" wrapText="1"/>
    </xf>
    <xf numFmtId="3" fontId="15" fillId="13" borderId="16" xfId="0" applyNumberFormat="1" applyFont="1" applyFill="1" applyBorder="1" applyAlignment="1">
      <alignment horizontal="center" vertical="center" wrapText="1"/>
    </xf>
    <xf numFmtId="3" fontId="15" fillId="0" borderId="4" xfId="0" applyNumberFormat="1" applyFont="1" applyFill="1" applyBorder="1" applyAlignment="1">
      <alignment horizontal="right"/>
    </xf>
    <xf numFmtId="1" fontId="15" fillId="13" borderId="6" xfId="0" applyNumberFormat="1" applyFont="1" applyFill="1" applyBorder="1" applyAlignment="1">
      <alignment horizontal="center" wrapText="1"/>
    </xf>
    <xf numFmtId="1" fontId="15" fillId="13" borderId="12" xfId="0" applyNumberFormat="1" applyFont="1" applyFill="1" applyBorder="1" applyAlignment="1">
      <alignment horizontal="center" wrapText="1"/>
    </xf>
    <xf numFmtId="49" fontId="13" fillId="13" borderId="5" xfId="1" applyNumberFormat="1" applyFont="1" applyFill="1" applyBorder="1" applyAlignment="1">
      <alignment horizontal="center" vertical="center" wrapText="1"/>
    </xf>
    <xf numFmtId="1" fontId="15" fillId="13" borderId="15" xfId="0" applyNumberFormat="1" applyFont="1" applyFill="1" applyBorder="1" applyAlignment="1">
      <alignment horizontal="center"/>
    </xf>
    <xf numFmtId="1" fontId="15" fillId="13" borderId="0" xfId="0" applyNumberFormat="1" applyFont="1" applyFill="1" applyBorder="1" applyAlignment="1">
      <alignment horizontal="center"/>
    </xf>
    <xf numFmtId="1" fontId="15" fillId="13" borderId="14" xfId="0" applyNumberFormat="1" applyFont="1" applyFill="1" applyBorder="1" applyAlignment="1">
      <alignment horizontal="center"/>
    </xf>
    <xf numFmtId="0" fontId="13" fillId="13" borderId="5" xfId="1" applyFont="1" applyFill="1" applyBorder="1" applyAlignment="1">
      <alignment horizontal="center" vertical="center" wrapText="1"/>
    </xf>
    <xf numFmtId="1" fontId="15" fillId="13" borderId="15" xfId="0" applyNumberFormat="1" applyFont="1" applyFill="1" applyBorder="1" applyAlignment="1">
      <alignment horizontal="center" vertical="center" wrapText="1"/>
    </xf>
    <xf numFmtId="1" fontId="15" fillId="13" borderId="0" xfId="0" applyNumberFormat="1" applyFont="1" applyFill="1" applyBorder="1" applyAlignment="1">
      <alignment horizontal="center" vertical="center" wrapText="1"/>
    </xf>
    <xf numFmtId="1" fontId="15" fillId="13" borderId="14" xfId="0" applyNumberFormat="1" applyFont="1" applyFill="1" applyBorder="1" applyAlignment="1">
      <alignment horizontal="center" vertical="center" wrapText="1"/>
    </xf>
    <xf numFmtId="1" fontId="15" fillId="13" borderId="11" xfId="0" applyNumberFormat="1" applyFont="1" applyFill="1" applyBorder="1" applyAlignment="1">
      <alignment horizontal="center" vertical="center" wrapText="1"/>
    </xf>
    <xf numFmtId="1" fontId="15" fillId="13" borderId="16" xfId="0" applyNumberFormat="1" applyFont="1" applyFill="1" applyBorder="1" applyAlignment="1">
      <alignment horizontal="center" vertical="center" wrapText="1"/>
    </xf>
    <xf numFmtId="0" fontId="0" fillId="0" borderId="6" xfId="0" applyFont="1" applyFill="1" applyBorder="1" applyAlignment="1">
      <alignment horizontal="center"/>
    </xf>
    <xf numFmtId="0" fontId="0" fillId="0" borderId="12" xfId="0" applyFont="1" applyFill="1" applyBorder="1" applyAlignment="1">
      <alignment horizontal="center"/>
    </xf>
    <xf numFmtId="1" fontId="15" fillId="13" borderId="9" xfId="0" applyNumberFormat="1" applyFont="1" applyFill="1" applyBorder="1" applyAlignment="1">
      <alignment horizontal="center" vertical="top" wrapText="1"/>
    </xf>
    <xf numFmtId="1" fontId="15" fillId="13" borderId="4" xfId="0" applyNumberFormat="1" applyFont="1" applyFill="1" applyBorder="1" applyAlignment="1">
      <alignment horizontal="center" vertical="top" wrapText="1"/>
    </xf>
    <xf numFmtId="1" fontId="15" fillId="13" borderId="0" xfId="0" applyNumberFormat="1" applyFont="1" applyFill="1" applyBorder="1" applyAlignment="1">
      <alignment horizontal="center" vertical="top" wrapText="1"/>
    </xf>
    <xf numFmtId="1" fontId="15" fillId="13" borderId="14" xfId="0" applyNumberFormat="1" applyFont="1" applyFill="1" applyBorder="1" applyAlignment="1">
      <alignment horizontal="center" vertical="top" wrapText="1"/>
    </xf>
    <xf numFmtId="1" fontId="15" fillId="13" borderId="6" xfId="0" applyNumberFormat="1" applyFont="1" applyFill="1" applyBorder="1" applyAlignment="1">
      <alignment horizontal="center" vertical="top" wrapText="1"/>
    </xf>
    <xf numFmtId="1" fontId="15" fillId="13" borderId="13" xfId="0" applyNumberFormat="1" applyFont="1" applyFill="1" applyBorder="1" applyAlignment="1">
      <alignment horizontal="center" vertical="top" wrapText="1"/>
    </xf>
    <xf numFmtId="1" fontId="15" fillId="13" borderId="12" xfId="0" applyNumberFormat="1" applyFont="1" applyFill="1" applyBorder="1" applyAlignment="1">
      <alignment horizontal="center" vertical="top" wrapText="1"/>
    </xf>
    <xf numFmtId="1" fontId="15" fillId="13" borderId="6" xfId="0" applyNumberFormat="1" applyFont="1" applyFill="1" applyBorder="1" applyAlignment="1">
      <alignment horizontal="center" vertical="center" wrapText="1"/>
    </xf>
    <xf numFmtId="1" fontId="15" fillId="13" borderId="13" xfId="0" applyNumberFormat="1" applyFont="1" applyFill="1" applyBorder="1" applyAlignment="1">
      <alignment horizontal="center" vertical="center" wrapText="1"/>
    </xf>
    <xf numFmtId="1" fontId="15" fillId="13" borderId="12" xfId="0" applyNumberFormat="1" applyFont="1" applyFill="1" applyBorder="1" applyAlignment="1">
      <alignment horizontal="center" vertical="center" wrapText="1"/>
    </xf>
    <xf numFmtId="1" fontId="15" fillId="13" borderId="15" xfId="0" applyNumberFormat="1" applyFont="1" applyFill="1" applyBorder="1" applyAlignment="1">
      <alignment horizontal="center" wrapText="1"/>
    </xf>
    <xf numFmtId="1" fontId="15" fillId="13" borderId="14" xfId="0" applyNumberFormat="1" applyFont="1" applyFill="1" applyBorder="1" applyAlignment="1">
      <alignment horizontal="center" wrapText="1"/>
    </xf>
    <xf numFmtId="1" fontId="15" fillId="13" borderId="10" xfId="0" applyNumberFormat="1" applyFont="1" applyFill="1" applyBorder="1" applyAlignment="1">
      <alignment horizontal="center" wrapText="1"/>
    </xf>
    <xf numFmtId="1" fontId="15" fillId="13" borderId="16" xfId="0" applyNumberFormat="1" applyFont="1" applyFill="1" applyBorder="1" applyAlignment="1">
      <alignment horizontal="center" wrapText="1"/>
    </xf>
    <xf numFmtId="4" fontId="105" fillId="0" borderId="1" xfId="0" applyNumberFormat="1" applyFont="1" applyFill="1" applyBorder="1" applyAlignment="1">
      <alignment vertical="top"/>
    </xf>
    <xf numFmtId="0" fontId="24" fillId="0" borderId="1" xfId="0" applyFont="1" applyFill="1" applyBorder="1" applyAlignment="1">
      <alignment wrapText="1"/>
    </xf>
    <xf numFmtId="1" fontId="15" fillId="13" borderId="0" xfId="0" applyNumberFormat="1" applyFont="1" applyFill="1" applyBorder="1" applyAlignment="1">
      <alignment horizontal="center" wrapText="1"/>
    </xf>
    <xf numFmtId="3" fontId="15" fillId="0" borderId="0" xfId="0" applyNumberFormat="1" applyFont="1" applyFill="1" applyBorder="1" applyAlignment="1">
      <alignment horizontal="right"/>
    </xf>
    <xf numFmtId="0" fontId="15" fillId="13" borderId="0" xfId="0" applyFont="1" applyFill="1" applyBorder="1" applyAlignment="1">
      <alignment horizontal="center" vertical="top" wrapText="1"/>
    </xf>
    <xf numFmtId="0" fontId="15" fillId="13" borderId="0" xfId="0" applyFont="1" applyFill="1" applyBorder="1" applyAlignment="1">
      <alignment horizontal="center"/>
    </xf>
    <xf numFmtId="3" fontId="15" fillId="13" borderId="0"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0" applyFont="1" applyFill="1" applyBorder="1" applyAlignment="1"/>
    <xf numFmtId="4" fontId="15" fillId="0" borderId="2" xfId="0" applyNumberFormat="1" applyFont="1" applyFill="1" applyBorder="1" applyAlignment="1">
      <alignment vertical="center" wrapText="1"/>
    </xf>
    <xf numFmtId="0" fontId="15" fillId="0" borderId="2" xfId="0" applyFont="1" applyFill="1" applyBorder="1" applyAlignment="1"/>
    <xf numFmtId="0" fontId="15" fillId="0" borderId="5" xfId="1" applyFont="1" applyFill="1" applyBorder="1" applyAlignment="1">
      <alignment horizontal="center" vertical="center" wrapText="1"/>
    </xf>
    <xf numFmtId="0" fontId="15" fillId="0" borderId="5" xfId="1" applyFont="1" applyFill="1" applyBorder="1" applyAlignment="1">
      <alignment horizontal="left" vertical="center" wrapText="1"/>
    </xf>
    <xf numFmtId="0" fontId="8" fillId="0" borderId="6"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vertical="top" wrapText="1"/>
    </xf>
    <xf numFmtId="0" fontId="8" fillId="14" borderId="6" xfId="0" applyFont="1" applyFill="1" applyBorder="1" applyAlignment="1">
      <alignment vertical="top" wrapText="1"/>
    </xf>
    <xf numFmtId="0" fontId="8" fillId="14" borderId="13" xfId="0" applyFont="1" applyFill="1" applyBorder="1" applyAlignment="1">
      <alignment vertical="top" wrapText="1"/>
    </xf>
    <xf numFmtId="0" fontId="8" fillId="14" borderId="12" xfId="0" applyFont="1" applyFill="1" applyBorder="1" applyAlignment="1">
      <alignment vertical="top" wrapText="1"/>
    </xf>
    <xf numFmtId="1" fontId="15" fillId="13" borderId="13" xfId="0" applyNumberFormat="1" applyFont="1" applyFill="1" applyBorder="1" applyAlignment="1">
      <alignment horizontal="center" wrapText="1"/>
    </xf>
    <xf numFmtId="1" fontId="15" fillId="13" borderId="13" xfId="0" applyNumberFormat="1" applyFont="1" applyFill="1" applyBorder="1" applyAlignment="1">
      <alignment wrapText="1"/>
    </xf>
    <xf numFmtId="0" fontId="89" fillId="8" borderId="0" xfId="1" applyFont="1" applyFill="1" applyBorder="1" applyAlignment="1">
      <alignment vertical="center"/>
    </xf>
    <xf numFmtId="4" fontId="8" fillId="13" borderId="10" xfId="0" applyNumberFormat="1" applyFont="1" applyFill="1" applyBorder="1" applyAlignment="1">
      <alignment horizontal="right"/>
    </xf>
    <xf numFmtId="4" fontId="8" fillId="13" borderId="11" xfId="0" applyNumberFormat="1" applyFont="1" applyFill="1" applyBorder="1" applyAlignment="1">
      <alignment horizontal="right"/>
    </xf>
    <xf numFmtId="4" fontId="8" fillId="13" borderId="16" xfId="0" applyNumberFormat="1" applyFont="1" applyFill="1" applyBorder="1" applyAlignment="1">
      <alignment horizontal="right"/>
    </xf>
    <xf numFmtId="0" fontId="0" fillId="0" borderId="13" xfId="0" applyFont="1" applyFill="1" applyBorder="1" applyAlignment="1">
      <alignment horizontal="center"/>
    </xf>
    <xf numFmtId="1" fontId="15" fillId="13" borderId="11" xfId="0" applyNumberFormat="1" applyFont="1" applyFill="1" applyBorder="1" applyAlignment="1">
      <alignment horizontal="center" wrapText="1"/>
    </xf>
    <xf numFmtId="4" fontId="15" fillId="0" borderId="9" xfId="0" applyNumberFormat="1" applyFont="1" applyFill="1" applyBorder="1" applyAlignment="1">
      <alignment vertical="top" wrapText="1"/>
    </xf>
    <xf numFmtId="0" fontId="15" fillId="13" borderId="6" xfId="0" applyFont="1" applyFill="1" applyBorder="1" applyAlignment="1">
      <alignment horizontal="center" vertical="top" wrapText="1"/>
    </xf>
    <xf numFmtId="0" fontId="15" fillId="13" borderId="13" xfId="0" applyFont="1" applyFill="1" applyBorder="1" applyAlignment="1">
      <alignment horizontal="center" vertical="top" wrapText="1"/>
    </xf>
    <xf numFmtId="0" fontId="15" fillId="13" borderId="12" xfId="0" applyFont="1" applyFill="1" applyBorder="1" applyAlignment="1">
      <alignment horizontal="center" vertical="top" wrapText="1"/>
    </xf>
    <xf numFmtId="0" fontId="15" fillId="13" borderId="15" xfId="0" applyFont="1" applyFill="1" applyBorder="1" applyAlignment="1">
      <alignment horizontal="center" vertical="top" wrapText="1"/>
    </xf>
    <xf numFmtId="0" fontId="15" fillId="13" borderId="14" xfId="0" applyFont="1" applyFill="1" applyBorder="1" applyAlignment="1">
      <alignment horizontal="center" vertical="top" wrapText="1"/>
    </xf>
    <xf numFmtId="0" fontId="15" fillId="13" borderId="15" xfId="0" applyFont="1" applyFill="1" applyBorder="1" applyAlignment="1">
      <alignment horizontal="center"/>
    </xf>
    <xf numFmtId="0" fontId="15" fillId="13" borderId="14" xfId="0" applyFont="1" applyFill="1" applyBorder="1" applyAlignment="1">
      <alignment horizontal="center"/>
    </xf>
    <xf numFmtId="4" fontId="15" fillId="13" borderId="10" xfId="0" applyNumberFormat="1" applyFont="1" applyFill="1" applyBorder="1" applyAlignment="1">
      <alignment horizontal="right" vertical="top" wrapText="1"/>
    </xf>
    <xf numFmtId="4" fontId="15" fillId="13" borderId="11" xfId="0" applyNumberFormat="1" applyFont="1" applyFill="1" applyBorder="1" applyAlignment="1">
      <alignment horizontal="right" vertical="top" wrapText="1"/>
    </xf>
    <xf numFmtId="4" fontId="15" fillId="13" borderId="16" xfId="0" applyNumberFormat="1" applyFont="1" applyFill="1" applyBorder="1" applyAlignment="1">
      <alignment horizontal="right" vertical="top" wrapText="1"/>
    </xf>
    <xf numFmtId="4" fontId="15" fillId="0" borderId="3" xfId="0" applyNumberFormat="1" applyFont="1" applyFill="1" applyBorder="1"/>
    <xf numFmtId="4" fontId="15" fillId="0" borderId="9" xfId="0" applyNumberFormat="1" applyFont="1" applyFill="1" applyBorder="1"/>
    <xf numFmtId="4" fontId="15" fillId="0" borderId="4" xfId="0" applyNumberFormat="1" applyFont="1" applyFill="1" applyBorder="1"/>
    <xf numFmtId="4" fontId="15" fillId="13" borderId="5" xfId="0" applyNumberFormat="1" applyFont="1" applyFill="1" applyBorder="1" applyAlignment="1">
      <alignment horizontal="center" vertical="center" wrapText="1"/>
    </xf>
    <xf numFmtId="0" fontId="15" fillId="13" borderId="5" xfId="0" applyFont="1" applyFill="1" applyBorder="1" applyAlignment="1">
      <alignment horizontal="center" vertical="center" wrapText="1"/>
    </xf>
    <xf numFmtId="4" fontId="23" fillId="13" borderId="2" xfId="0" applyNumberFormat="1" applyFont="1" applyFill="1" applyBorder="1" applyAlignment="1">
      <alignment vertical="center" wrapText="1"/>
    </xf>
    <xf numFmtId="4" fontId="23" fillId="13" borderId="4" xfId="0" applyNumberFormat="1" applyFont="1" applyFill="1" applyBorder="1" applyAlignment="1">
      <alignment vertical="center" wrapText="1"/>
    </xf>
    <xf numFmtId="4" fontId="23" fillId="13" borderId="1" xfId="0" applyNumberFormat="1" applyFont="1" applyFill="1" applyBorder="1" applyAlignment="1">
      <alignment vertical="center" wrapText="1"/>
    </xf>
    <xf numFmtId="4" fontId="15" fillId="0" borderId="5" xfId="0" applyNumberFormat="1" applyFont="1" applyFill="1" applyBorder="1" applyAlignment="1"/>
    <xf numFmtId="0" fontId="15" fillId="0" borderId="5" xfId="0" applyFont="1" applyFill="1" applyBorder="1" applyAlignment="1"/>
    <xf numFmtId="1" fontId="15" fillId="13" borderId="9" xfId="0" applyNumberFormat="1" applyFont="1" applyFill="1" applyBorder="1" applyAlignment="1">
      <alignment vertical="top" wrapText="1"/>
    </xf>
    <xf numFmtId="1" fontId="15" fillId="13" borderId="15" xfId="0" applyNumberFormat="1" applyFont="1" applyFill="1" applyBorder="1" applyAlignment="1">
      <alignment vertical="top" wrapText="1"/>
    </xf>
    <xf numFmtId="1" fontId="15" fillId="13" borderId="0" xfId="0" applyNumberFormat="1" applyFont="1" applyFill="1" applyBorder="1" applyAlignment="1">
      <alignment vertical="top" wrapText="1"/>
    </xf>
    <xf numFmtId="4" fontId="13" fillId="13" borderId="15" xfId="0" applyNumberFormat="1" applyFont="1" applyFill="1" applyBorder="1" applyAlignment="1">
      <alignment horizontal="right" vertical="center" wrapText="1"/>
    </xf>
    <xf numFmtId="0" fontId="8" fillId="0" borderId="5" xfId="0" applyFont="1" applyFill="1" applyBorder="1" applyAlignment="1">
      <alignment vertical="top" wrapText="1"/>
    </xf>
    <xf numFmtId="1" fontId="15" fillId="13" borderId="6" xfId="0" applyNumberFormat="1" applyFont="1" applyFill="1" applyBorder="1" applyAlignment="1">
      <alignment vertical="top"/>
    </xf>
    <xf numFmtId="1" fontId="15" fillId="13" borderId="13" xfId="0" applyNumberFormat="1" applyFont="1" applyFill="1" applyBorder="1" applyAlignment="1">
      <alignment vertical="top" wrapText="1"/>
    </xf>
    <xf numFmtId="1" fontId="15" fillId="0" borderId="3" xfId="0" applyNumberFormat="1" applyFont="1" applyFill="1" applyBorder="1" applyAlignment="1"/>
    <xf numFmtId="1" fontId="15" fillId="0" borderId="9" xfId="0" applyNumberFormat="1" applyFont="1" applyFill="1" applyBorder="1" applyAlignment="1"/>
    <xf numFmtId="1" fontId="15" fillId="0" borderId="9" xfId="0" applyNumberFormat="1" applyFont="1" applyFill="1" applyBorder="1" applyAlignment="1">
      <alignment horizontal="right"/>
    </xf>
    <xf numFmtId="1" fontId="15" fillId="0" borderId="4" xfId="0" applyNumberFormat="1" applyFont="1" applyFill="1" applyBorder="1" applyAlignment="1">
      <alignment horizontal="right"/>
    </xf>
    <xf numFmtId="1" fontId="15" fillId="0" borderId="6" xfId="0" applyNumberFormat="1" applyFont="1" applyFill="1" applyBorder="1" applyAlignment="1"/>
    <xf numFmtId="1" fontId="15" fillId="0" borderId="13" xfId="0" applyNumberFormat="1" applyFont="1" applyFill="1" applyBorder="1" applyAlignment="1"/>
    <xf numFmtId="1" fontId="15" fillId="0" borderId="13" xfId="0" applyNumberFormat="1" applyFont="1" applyFill="1" applyBorder="1" applyAlignment="1">
      <alignment horizontal="right"/>
    </xf>
    <xf numFmtId="1" fontId="15" fillId="0" borderId="12" xfId="0" applyNumberFormat="1" applyFont="1" applyFill="1" applyBorder="1" applyAlignment="1">
      <alignment horizontal="right"/>
    </xf>
    <xf numFmtId="3" fontId="15" fillId="13" borderId="11" xfId="0" applyNumberFormat="1" applyFont="1" applyFill="1" applyBorder="1" applyAlignment="1">
      <alignment horizontal="center" vertical="center" wrapText="1"/>
    </xf>
    <xf numFmtId="3" fontId="15" fillId="0" borderId="1" xfId="0" applyNumberFormat="1" applyFont="1" applyFill="1" applyBorder="1" applyAlignment="1">
      <alignment horizontal="center"/>
    </xf>
    <xf numFmtId="3" fontId="15" fillId="0" borderId="5" xfId="0" applyNumberFormat="1" applyFont="1" applyFill="1" applyBorder="1" applyAlignment="1">
      <alignment horizontal="center"/>
    </xf>
    <xf numFmtId="4" fontId="15" fillId="0" borderId="6" xfId="0" applyNumberFormat="1" applyFont="1" applyFill="1" applyBorder="1" applyAlignment="1">
      <alignment horizontal="right"/>
    </xf>
    <xf numFmtId="4" fontId="10" fillId="14" borderId="9" xfId="1" applyNumberFormat="1" applyFont="1" applyFill="1" applyBorder="1" applyAlignment="1">
      <alignment horizontal="right" vertical="center" wrapText="1"/>
    </xf>
    <xf numFmtId="0" fontId="15" fillId="14" borderId="9" xfId="1" applyFont="1" applyFill="1" applyBorder="1" applyAlignment="1">
      <alignment vertical="center" wrapText="1"/>
    </xf>
    <xf numFmtId="0" fontId="15" fillId="14" borderId="4" xfId="1" applyFont="1" applyFill="1" applyBorder="1" applyAlignment="1">
      <alignment vertical="center" wrapText="1"/>
    </xf>
    <xf numFmtId="4" fontId="19" fillId="13" borderId="10" xfId="0" applyNumberFormat="1" applyFont="1" applyFill="1" applyBorder="1" applyAlignment="1"/>
    <xf numFmtId="4" fontId="19" fillId="13" borderId="11" xfId="0" applyNumberFormat="1" applyFont="1" applyFill="1" applyBorder="1" applyAlignment="1"/>
    <xf numFmtId="4" fontId="19" fillId="13" borderId="16" xfId="0" applyNumberFormat="1" applyFont="1" applyFill="1" applyBorder="1" applyAlignment="1"/>
    <xf numFmtId="1" fontId="15" fillId="0" borderId="9" xfId="0" applyNumberFormat="1" applyFont="1" applyFill="1" applyBorder="1" applyAlignment="1">
      <alignment horizontal="center" vertical="center" wrapText="1"/>
    </xf>
    <xf numFmtId="0" fontId="15" fillId="13" borderId="13" xfId="0" applyFont="1" applyFill="1" applyBorder="1" applyAlignment="1">
      <alignment horizontal="center" wrapText="1"/>
    </xf>
    <xf numFmtId="0" fontId="15" fillId="13" borderId="12" xfId="0" applyFont="1" applyFill="1" applyBorder="1" applyAlignment="1">
      <alignment horizontal="center" wrapText="1"/>
    </xf>
    <xf numFmtId="4" fontId="15" fillId="0" borderId="5" xfId="0" applyNumberFormat="1" applyFont="1" applyFill="1" applyBorder="1" applyAlignment="1">
      <alignment vertical="center" wrapText="1"/>
    </xf>
    <xf numFmtId="1" fontId="15" fillId="0" borderId="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0" fontId="15" fillId="13" borderId="3" xfId="0" applyFont="1" applyFill="1" applyBorder="1" applyAlignment="1">
      <alignment horizontal="left" vertical="center"/>
    </xf>
    <xf numFmtId="0" fontId="15" fillId="13" borderId="9" xfId="0" applyFont="1" applyFill="1" applyBorder="1" applyAlignment="1">
      <alignment wrapText="1"/>
    </xf>
    <xf numFmtId="0" fontId="15" fillId="13" borderId="9" xfId="0" applyFont="1" applyFill="1" applyBorder="1" applyAlignment="1">
      <alignment horizontal="center" wrapText="1"/>
    </xf>
    <xf numFmtId="0" fontId="15" fillId="13" borderId="4" xfId="0" applyFont="1" applyFill="1" applyBorder="1" applyAlignment="1">
      <alignment horizontal="center" wrapText="1"/>
    </xf>
    <xf numFmtId="3" fontId="15" fillId="0" borderId="13" xfId="0" applyNumberFormat="1" applyFont="1" applyFill="1" applyBorder="1" applyAlignment="1"/>
    <xf numFmtId="3" fontId="15" fillId="0" borderId="12" xfId="0" applyNumberFormat="1" applyFont="1" applyFill="1" applyBorder="1" applyAlignment="1"/>
    <xf numFmtId="0" fontId="15" fillId="13" borderId="6" xfId="0" applyFont="1" applyFill="1" applyBorder="1" applyAlignment="1">
      <alignment horizontal="left" vertical="center"/>
    </xf>
    <xf numFmtId="0" fontId="15" fillId="13" borderId="13" xfId="0" applyFont="1" applyFill="1" applyBorder="1" applyAlignment="1">
      <alignment wrapText="1"/>
    </xf>
    <xf numFmtId="3" fontId="15" fillId="0" borderId="3" xfId="0" applyNumberFormat="1" applyFont="1" applyFill="1" applyBorder="1" applyAlignment="1"/>
    <xf numFmtId="3" fontId="15" fillId="0" borderId="9" xfId="0" applyNumberFormat="1" applyFont="1" applyFill="1" applyBorder="1" applyAlignment="1"/>
    <xf numFmtId="3" fontId="15" fillId="0" borderId="4" xfId="0" applyNumberFormat="1" applyFont="1" applyFill="1" applyBorder="1" applyAlignment="1"/>
    <xf numFmtId="0" fontId="10" fillId="14" borderId="3" xfId="0" applyFont="1" applyFill="1" applyBorder="1" applyAlignment="1">
      <alignment horizontal="left" vertical="center" wrapText="1"/>
    </xf>
    <xf numFmtId="0" fontId="10" fillId="14" borderId="9" xfId="0" applyFont="1" applyFill="1" applyBorder="1" applyAlignment="1">
      <alignment horizontal="left" vertical="center" wrapText="1"/>
    </xf>
    <xf numFmtId="0" fontId="10" fillId="14" borderId="4" xfId="0" applyFont="1" applyFill="1" applyBorder="1" applyAlignment="1">
      <alignment horizontal="left" vertical="center" wrapText="1"/>
    </xf>
    <xf numFmtId="3" fontId="15" fillId="13" borderId="15" xfId="0" applyNumberFormat="1" applyFont="1" applyFill="1" applyBorder="1" applyAlignment="1">
      <alignment wrapText="1"/>
    </xf>
    <xf numFmtId="3" fontId="15" fillId="0" borderId="3" xfId="0" applyNumberFormat="1" applyFont="1" applyFill="1" applyBorder="1" applyAlignment="1">
      <alignment horizontal="left"/>
    </xf>
    <xf numFmtId="3" fontId="15" fillId="0" borderId="9" xfId="0" applyNumberFormat="1" applyFont="1" applyFill="1" applyBorder="1" applyAlignment="1">
      <alignment horizontal="left"/>
    </xf>
    <xf numFmtId="184" fontId="0" fillId="0" borderId="0" xfId="0" applyNumberFormat="1" applyFill="1"/>
    <xf numFmtId="4" fontId="141" fillId="0" borderId="1" xfId="9" applyNumberFormat="1" applyFont="1" applyFill="1" applyBorder="1" applyAlignment="1">
      <alignment vertical="center" wrapText="1"/>
    </xf>
    <xf numFmtId="4" fontId="141" fillId="0" borderId="1" xfId="0" applyNumberFormat="1" applyFont="1" applyFill="1" applyBorder="1" applyAlignment="1">
      <alignment horizontal="right" vertical="center" wrapText="1"/>
    </xf>
    <xf numFmtId="0" fontId="145" fillId="0" borderId="12" xfId="0" applyFont="1" applyFill="1" applyBorder="1" applyAlignment="1">
      <alignment horizontal="left" vertical="center" wrapText="1"/>
    </xf>
    <xf numFmtId="4" fontId="141" fillId="0" borderId="1" xfId="9" applyNumberFormat="1" applyFont="1" applyFill="1" applyBorder="1" applyAlignment="1">
      <alignment horizontal="right" vertical="center" wrapText="1"/>
    </xf>
    <xf numFmtId="0" fontId="141" fillId="8" borderId="1" xfId="0" applyFont="1" applyFill="1" applyBorder="1" applyAlignment="1">
      <alignment vertical="center" wrapText="1"/>
    </xf>
    <xf numFmtId="4" fontId="141" fillId="0" borderId="1" xfId="0" applyNumberFormat="1" applyFont="1" applyFill="1" applyBorder="1" applyAlignment="1">
      <alignment vertical="center"/>
    </xf>
    <xf numFmtId="0" fontId="141" fillId="0" borderId="0" xfId="0" applyFont="1"/>
    <xf numFmtId="4" fontId="13" fillId="13" borderId="3" xfId="0" applyNumberFormat="1" applyFont="1" applyFill="1" applyBorder="1" applyAlignment="1">
      <alignment horizontal="right" vertical="center" wrapText="1"/>
    </xf>
    <xf numFmtId="3" fontId="15" fillId="13" borderId="3" xfId="0" applyNumberFormat="1" applyFont="1" applyFill="1" applyBorder="1" applyAlignment="1">
      <alignment wrapText="1"/>
    </xf>
    <xf numFmtId="4" fontId="13" fillId="13" borderId="3" xfId="0" applyNumberFormat="1" applyFont="1" applyFill="1" applyBorder="1" applyAlignment="1">
      <alignment horizontal="center" vertical="center" wrapText="1"/>
    </xf>
    <xf numFmtId="3" fontId="13" fillId="13" borderId="3" xfId="0" applyNumberFormat="1" applyFont="1" applyFill="1" applyBorder="1" applyAlignment="1">
      <alignment horizontal="center" vertical="center" wrapText="1"/>
    </xf>
    <xf numFmtId="4" fontId="13" fillId="13" borderId="3" xfId="0" applyNumberFormat="1" applyFont="1" applyFill="1" applyBorder="1" applyAlignment="1">
      <alignment horizontal="left" vertical="center" wrapText="1"/>
    </xf>
    <xf numFmtId="3" fontId="134" fillId="0" borderId="0" xfId="0" applyNumberFormat="1" applyFont="1"/>
    <xf numFmtId="4" fontId="134" fillId="0" borderId="0" xfId="0" applyNumberFormat="1" applyFont="1"/>
    <xf numFmtId="3" fontId="15" fillId="0" borderId="5" xfId="0" applyNumberFormat="1" applyFont="1" applyFill="1" applyBorder="1" applyAlignment="1">
      <alignment vertical="center" wrapText="1"/>
    </xf>
    <xf numFmtId="0" fontId="117" fillId="8" borderId="1" xfId="0" applyFont="1" applyFill="1" applyBorder="1" applyAlignment="1">
      <alignment vertical="center" wrapText="1"/>
    </xf>
    <xf numFmtId="4" fontId="145" fillId="0" borderId="1" xfId="9" applyNumberFormat="1" applyFont="1" applyFill="1" applyBorder="1" applyAlignment="1">
      <alignment horizontal="center" vertical="center" wrapText="1"/>
    </xf>
    <xf numFmtId="3" fontId="98" fillId="0" borderId="1" xfId="9" applyNumberFormat="1" applyFont="1" applyFill="1" applyBorder="1" applyAlignment="1">
      <alignment horizontal="right" vertical="center" wrapText="1"/>
    </xf>
    <xf numFmtId="0" fontId="130" fillId="0" borderId="1" xfId="0" applyFont="1" applyFill="1" applyBorder="1" applyAlignment="1">
      <alignment horizontal="left" vertical="center" wrapText="1"/>
    </xf>
    <xf numFmtId="1" fontId="15" fillId="13" borderId="11" xfId="0" applyNumberFormat="1" applyFont="1" applyFill="1" applyBorder="1" applyAlignment="1">
      <alignment horizontal="center" wrapText="1"/>
    </xf>
    <xf numFmtId="49" fontId="13" fillId="13" borderId="1" xfId="0" applyNumberFormat="1" applyFont="1" applyFill="1" applyBorder="1" applyAlignment="1">
      <alignment horizontal="center" vertical="center" wrapText="1"/>
    </xf>
    <xf numFmtId="0" fontId="13" fillId="13" borderId="1" xfId="0" applyFont="1" applyFill="1" applyBorder="1" applyAlignment="1">
      <alignment horizontal="center" vertical="center" wrapText="1"/>
    </xf>
    <xf numFmtId="4" fontId="8" fillId="0" borderId="1" xfId="9" applyNumberFormat="1" applyFont="1" applyFill="1" applyBorder="1" applyAlignment="1">
      <alignment horizontal="right" vertical="center" wrapText="1"/>
    </xf>
    <xf numFmtId="4" fontId="105" fillId="4" borderId="1" xfId="0" applyNumberFormat="1" applyFont="1" applyFill="1" applyBorder="1" applyAlignment="1">
      <alignment horizontal="right" vertical="top"/>
    </xf>
    <xf numFmtId="4" fontId="105" fillId="0" borderId="1" xfId="0" applyNumberFormat="1" applyFont="1" applyFill="1" applyBorder="1" applyAlignment="1">
      <alignment horizontal="right" vertical="top"/>
    </xf>
    <xf numFmtId="4" fontId="131" fillId="4" borderId="1" xfId="0" applyNumberFormat="1" applyFont="1" applyFill="1" applyBorder="1" applyAlignment="1">
      <alignment horizontal="right" vertical="top"/>
    </xf>
    <xf numFmtId="4" fontId="131" fillId="12" borderId="8" xfId="0" applyNumberFormat="1" applyFont="1" applyFill="1" applyBorder="1" applyAlignment="1">
      <alignment horizontal="right" vertical="top"/>
    </xf>
    <xf numFmtId="4" fontId="112" fillId="0" borderId="1" xfId="0" applyNumberFormat="1" applyFont="1" applyFill="1" applyBorder="1" applyAlignment="1">
      <alignment horizontal="right" vertical="top"/>
    </xf>
    <xf numFmtId="4" fontId="33" fillId="0" borderId="1" xfId="0" applyNumberFormat="1" applyFont="1" applyFill="1" applyBorder="1" applyAlignment="1">
      <alignment horizontal="right" vertical="top"/>
    </xf>
    <xf numFmtId="4" fontId="107" fillId="0" borderId="2" xfId="0" applyNumberFormat="1" applyFont="1" applyFill="1" applyBorder="1" applyAlignment="1">
      <alignment horizontal="right" vertical="top"/>
    </xf>
    <xf numFmtId="4" fontId="107" fillId="0" borderId="2" xfId="0" applyNumberFormat="1" applyFont="1" applyFill="1" applyBorder="1" applyAlignment="1">
      <alignment horizontal="right" vertical="top" wrapText="1"/>
    </xf>
    <xf numFmtId="4" fontId="23" fillId="4" borderId="1" xfId="0" applyNumberFormat="1" applyFont="1" applyFill="1" applyBorder="1" applyAlignment="1">
      <alignment horizontal="right" vertical="top"/>
    </xf>
    <xf numFmtId="4" fontId="107" fillId="0" borderId="8" xfId="0" applyNumberFormat="1" applyFont="1" applyFill="1" applyBorder="1" applyAlignment="1">
      <alignment horizontal="right" vertical="top"/>
    </xf>
    <xf numFmtId="3" fontId="107" fillId="0" borderId="8" xfId="0" applyNumberFormat="1" applyFont="1" applyFill="1" applyBorder="1" applyAlignment="1">
      <alignment horizontal="right" vertical="top"/>
    </xf>
    <xf numFmtId="3" fontId="107" fillId="8" borderId="15" xfId="0" applyNumberFormat="1" applyFont="1" applyFill="1" applyBorder="1" applyAlignment="1">
      <alignment horizontal="right" vertical="top"/>
    </xf>
    <xf numFmtId="3" fontId="107" fillId="8" borderId="8" xfId="0" applyNumberFormat="1" applyFont="1" applyFill="1" applyBorder="1" applyAlignment="1">
      <alignment horizontal="right" vertical="top"/>
    </xf>
    <xf numFmtId="4" fontId="8" fillId="13" borderId="1" xfId="1" applyNumberFormat="1" applyFont="1" applyFill="1" applyBorder="1" applyAlignment="1">
      <alignment vertical="center" wrapText="1"/>
    </xf>
    <xf numFmtId="4" fontId="8" fillId="8" borderId="1" xfId="1" applyNumberFormat="1" applyFont="1" applyFill="1" applyBorder="1" applyAlignment="1">
      <alignment vertical="center" wrapText="1"/>
    </xf>
    <xf numFmtId="4" fontId="8" fillId="0" borderId="1" xfId="1" applyNumberFormat="1" applyFont="1" applyFill="1" applyBorder="1" applyAlignment="1">
      <alignment vertical="center" wrapText="1"/>
    </xf>
    <xf numFmtId="4" fontId="10" fillId="14" borderId="4" xfId="1" applyNumberFormat="1" applyFont="1" applyFill="1" applyBorder="1" applyAlignment="1">
      <alignment vertical="center" wrapText="1"/>
    </xf>
    <xf numFmtId="4" fontId="13" fillId="14" borderId="1" xfId="1" applyNumberFormat="1" applyFont="1" applyFill="1" applyBorder="1" applyAlignment="1">
      <alignment vertical="center" wrapText="1"/>
    </xf>
    <xf numFmtId="4" fontId="13" fillId="13" borderId="1" xfId="1" applyNumberFormat="1" applyFont="1" applyFill="1" applyBorder="1" applyAlignment="1">
      <alignment vertical="center" wrapText="1"/>
    </xf>
    <xf numFmtId="0" fontId="23" fillId="13" borderId="3" xfId="10" applyNumberFormat="1" applyFont="1" applyFill="1" applyBorder="1" applyAlignment="1">
      <alignment horizontal="left" vertical="center" wrapText="1"/>
    </xf>
    <xf numFmtId="4" fontId="117" fillId="8" borderId="1" xfId="0" applyNumberFormat="1" applyFont="1" applyFill="1" applyBorder="1" applyAlignment="1">
      <alignment vertical="center"/>
    </xf>
    <xf numFmtId="4" fontId="15" fillId="0" borderId="2" xfId="0" applyNumberFormat="1" applyFont="1" applyFill="1" applyBorder="1" applyAlignment="1">
      <alignment horizontal="right" vertical="top"/>
    </xf>
    <xf numFmtId="4" fontId="23" fillId="0" borderId="10" xfId="0" applyNumberFormat="1" applyFont="1" applyFill="1" applyBorder="1" applyAlignment="1">
      <alignment horizontal="right" vertical="top"/>
    </xf>
    <xf numFmtId="4" fontId="23" fillId="0" borderId="2" xfId="0" applyNumberFormat="1" applyFont="1" applyFill="1" applyBorder="1" applyAlignment="1">
      <alignment horizontal="right" vertical="top"/>
    </xf>
    <xf numFmtId="1" fontId="15" fillId="13" borderId="0" xfId="0" applyNumberFormat="1" applyFont="1" applyFill="1" applyBorder="1" applyAlignment="1">
      <alignment horizontal="center" vertical="top" wrapText="1"/>
    </xf>
    <xf numFmtId="1" fontId="15" fillId="13" borderId="13" xfId="0" applyNumberFormat="1" applyFont="1" applyFill="1" applyBorder="1" applyAlignment="1">
      <alignment horizontal="center" vertical="center" wrapText="1"/>
    </xf>
    <xf numFmtId="1" fontId="15" fillId="13" borderId="0"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top"/>
    </xf>
    <xf numFmtId="49" fontId="8" fillId="8" borderId="8" xfId="0" applyNumberFormat="1" applyFont="1" applyFill="1" applyBorder="1" applyAlignment="1">
      <alignment horizontal="center" vertical="top"/>
    </xf>
    <xf numFmtId="49" fontId="8" fillId="8" borderId="1" xfId="0" applyNumberFormat="1" applyFont="1" applyFill="1" applyBorder="1" applyAlignment="1">
      <alignment horizontal="center" vertical="top"/>
    </xf>
    <xf numFmtId="0" fontId="8" fillId="8" borderId="1" xfId="0" applyFont="1" applyFill="1" applyBorder="1" applyAlignment="1">
      <alignment horizontal="left" vertical="top" wrapText="1" shrinkToFit="1"/>
    </xf>
    <xf numFmtId="0" fontId="8" fillId="8" borderId="8" xfId="0" applyFont="1" applyFill="1" applyBorder="1" applyAlignment="1">
      <alignment vertical="top" wrapText="1" shrinkToFit="1"/>
    </xf>
    <xf numFmtId="0" fontId="146" fillId="0" borderId="0" xfId="0" applyFont="1" applyFill="1" applyAlignment="1">
      <alignment horizontal="center" vertical="center" wrapText="1"/>
    </xf>
    <xf numFmtId="0" fontId="146" fillId="0" borderId="0" xfId="0" applyFont="1" applyFill="1" applyAlignment="1">
      <alignment horizontal="left" vertical="center" wrapText="1"/>
    </xf>
    <xf numFmtId="3" fontId="119" fillId="0" borderId="0" xfId="0" applyNumberFormat="1" applyFont="1" applyFill="1"/>
    <xf numFmtId="0" fontId="119" fillId="0" borderId="0" xfId="0" applyFont="1" applyFill="1"/>
    <xf numFmtId="0" fontId="119" fillId="0" borderId="0" xfId="0" applyFont="1" applyBorder="1"/>
    <xf numFmtId="0" fontId="141" fillId="0" borderId="1" xfId="10" applyFont="1" applyFill="1" applyBorder="1" applyAlignment="1">
      <alignment horizontal="left" vertical="center" wrapText="1"/>
    </xf>
    <xf numFmtId="0" fontId="8" fillId="0" borderId="17" xfId="0" applyFont="1" applyBorder="1" applyAlignment="1">
      <alignment vertical="top" wrapText="1"/>
    </xf>
    <xf numFmtId="4" fontId="8" fillId="0" borderId="1" xfId="5" applyNumberFormat="1" applyFont="1" applyBorder="1" applyAlignment="1">
      <alignment vertical="top"/>
    </xf>
    <xf numFmtId="4" fontId="8" fillId="0" borderId="1" xfId="0" applyNumberFormat="1" applyFont="1" applyBorder="1" applyAlignment="1">
      <alignment vertical="top"/>
    </xf>
    <xf numFmtId="0" fontId="141" fillId="0" borderId="12" xfId="0" applyFont="1" applyFill="1" applyBorder="1" applyAlignment="1">
      <alignment horizontal="left" vertical="center" wrapText="1"/>
    </xf>
    <xf numFmtId="4" fontId="15" fillId="0" borderId="1" xfId="1" applyNumberFormat="1" applyFont="1" applyFill="1" applyBorder="1" applyAlignment="1">
      <alignment horizontal="right" vertical="center" wrapText="1"/>
    </xf>
    <xf numFmtId="4" fontId="134" fillId="7" borderId="0" xfId="0" applyNumberFormat="1" applyFont="1" applyFill="1"/>
    <xf numFmtId="0" fontId="134" fillId="0" borderId="2" xfId="0" applyFont="1" applyBorder="1" applyAlignment="1">
      <alignment horizontal="center"/>
    </xf>
    <xf numFmtId="4" fontId="15" fillId="0" borderId="5" xfId="0" applyNumberFormat="1" applyFont="1" applyFill="1" applyBorder="1"/>
    <xf numFmtId="0" fontId="57" fillId="8" borderId="12" xfId="0" applyFont="1" applyFill="1" applyBorder="1" applyAlignment="1" applyProtection="1">
      <alignment horizontal="left" vertical="top" wrapText="1"/>
    </xf>
    <xf numFmtId="4" fontId="15" fillId="0" borderId="1" xfId="0" applyNumberFormat="1" applyFont="1" applyFill="1" applyBorder="1" applyAlignment="1">
      <alignment horizontal="center" vertical="top" wrapText="1"/>
    </xf>
    <xf numFmtId="3" fontId="119" fillId="8" borderId="0" xfId="0" applyNumberFormat="1" applyFont="1" applyFill="1" applyBorder="1"/>
    <xf numFmtId="4" fontId="22" fillId="0" borderId="1" xfId="0" applyNumberFormat="1" applyFont="1" applyFill="1" applyBorder="1" applyAlignment="1">
      <alignment horizontal="left" vertical="center" wrapText="1"/>
    </xf>
    <xf numFmtId="186" fontId="98" fillId="12" borderId="0" xfId="0" applyNumberFormat="1" applyFont="1" applyFill="1"/>
    <xf numFmtId="0" fontId="98" fillId="12" borderId="0" xfId="0" applyFont="1" applyFill="1"/>
    <xf numFmtId="0" fontId="147" fillId="0" borderId="1" xfId="0" applyFont="1" applyFill="1" applyBorder="1" applyAlignment="1">
      <alignment horizontal="left" vertical="center" wrapText="1"/>
    </xf>
    <xf numFmtId="4" fontId="147" fillId="0" borderId="1" xfId="9" applyNumberFormat="1" applyFont="1" applyFill="1" applyBorder="1" applyAlignment="1">
      <alignment horizontal="center" vertical="center" wrapText="1"/>
    </xf>
    <xf numFmtId="0" fontId="147" fillId="8" borderId="1" xfId="0" applyFont="1" applyFill="1" applyBorder="1" applyAlignment="1">
      <alignment horizontal="left" vertical="center" wrapText="1"/>
    </xf>
    <xf numFmtId="4" fontId="147" fillId="0" borderId="1" xfId="9" applyNumberFormat="1" applyFont="1" applyFill="1" applyBorder="1" applyAlignment="1">
      <alignment horizontal="right" vertical="center" wrapText="1"/>
    </xf>
    <xf numFmtId="4" fontId="147" fillId="0" borderId="1" xfId="0" applyNumberFormat="1" applyFont="1" applyFill="1" applyBorder="1" applyAlignment="1">
      <alignment horizontal="right" vertical="center"/>
    </xf>
    <xf numFmtId="0" fontId="148" fillId="0" borderId="12" xfId="0" applyFont="1" applyFill="1" applyBorder="1" applyAlignment="1">
      <alignment horizontal="left" vertical="center" wrapText="1"/>
    </xf>
    <xf numFmtId="4" fontId="148" fillId="0" borderId="1" xfId="9" applyNumberFormat="1" applyFont="1" applyFill="1" applyBorder="1" applyAlignment="1">
      <alignment horizontal="center" vertical="center" wrapText="1"/>
    </xf>
    <xf numFmtId="4" fontId="147" fillId="8" borderId="1" xfId="0" applyNumberFormat="1" applyFont="1" applyFill="1" applyBorder="1" applyAlignment="1">
      <alignment horizontal="right" vertical="center" wrapText="1"/>
    </xf>
    <xf numFmtId="4" fontId="147" fillId="8" borderId="1" xfId="0" applyNumberFormat="1" applyFont="1" applyFill="1" applyBorder="1" applyAlignment="1">
      <alignment horizontal="right" vertical="top" wrapText="1"/>
    </xf>
    <xf numFmtId="4" fontId="147" fillId="0" borderId="0" xfId="0" applyNumberFormat="1" applyFont="1"/>
    <xf numFmtId="0" fontId="147" fillId="0" borderId="0" xfId="0" applyFont="1"/>
    <xf numFmtId="0" fontId="149" fillId="8" borderId="1" xfId="0" applyFont="1" applyFill="1" applyBorder="1" applyAlignment="1">
      <alignment horizontal="center" vertical="center" wrapText="1"/>
    </xf>
    <xf numFmtId="4" fontId="149" fillId="8" borderId="1" xfId="0" applyNumberFormat="1" applyFont="1" applyFill="1" applyBorder="1" applyAlignment="1">
      <alignment horizontal="right" vertical="center" wrapText="1"/>
    </xf>
    <xf numFmtId="4" fontId="134" fillId="8" borderId="1" xfId="0" applyNumberFormat="1" applyFont="1" applyFill="1" applyBorder="1"/>
    <xf numFmtId="186" fontId="147" fillId="8" borderId="1" xfId="0" applyNumberFormat="1" applyFont="1" applyFill="1" applyBorder="1" applyAlignment="1">
      <alignment horizontal="left" vertical="center" wrapText="1"/>
    </xf>
    <xf numFmtId="0" fontId="150" fillId="8" borderId="1" xfId="0" applyFont="1" applyFill="1" applyBorder="1" applyAlignment="1">
      <alignment horizontal="left" vertical="center" wrapText="1"/>
    </xf>
    <xf numFmtId="0" fontId="150" fillId="0" borderId="1" xfId="7" applyFont="1" applyFill="1" applyBorder="1" applyAlignment="1">
      <alignment horizontal="left" vertical="center" wrapText="1"/>
    </xf>
    <xf numFmtId="3" fontId="150" fillId="0" borderId="1" xfId="0" applyNumberFormat="1" applyFont="1" applyFill="1" applyBorder="1" applyAlignment="1">
      <alignment horizontal="right" vertical="center"/>
    </xf>
    <xf numFmtId="0" fontId="13" fillId="13" borderId="2" xfId="1" applyFont="1" applyFill="1" applyBorder="1" applyAlignment="1">
      <alignment horizontal="left" vertical="center" wrapText="1"/>
    </xf>
    <xf numFmtId="1" fontId="15" fillId="13" borderId="13" xfId="0" applyNumberFormat="1" applyFont="1" applyFill="1" applyBorder="1" applyAlignment="1">
      <alignment horizontal="center" vertical="center" wrapText="1"/>
    </xf>
    <xf numFmtId="1" fontId="15" fillId="13" borderId="0" xfId="0" applyNumberFormat="1" applyFont="1" applyFill="1" applyBorder="1" applyAlignment="1">
      <alignment horizontal="center" vertical="center" wrapText="1"/>
    </xf>
    <xf numFmtId="49" fontId="13" fillId="13" borderId="2" xfId="0" applyNumberFormat="1" applyFont="1" applyFill="1" applyBorder="1" applyAlignment="1">
      <alignment horizontal="center" vertical="center" wrapText="1"/>
    </xf>
    <xf numFmtId="1" fontId="15" fillId="13" borderId="9" xfId="0" applyNumberFormat="1" applyFont="1" applyFill="1" applyBorder="1" applyAlignment="1">
      <alignment horizontal="center" wrapText="1"/>
    </xf>
    <xf numFmtId="49" fontId="8" fillId="8" borderId="5" xfId="0" applyNumberFormat="1" applyFont="1" applyFill="1" applyBorder="1" applyAlignment="1">
      <alignment horizontal="center" vertical="top"/>
    </xf>
    <xf numFmtId="3" fontId="15" fillId="0" borderId="1" xfId="0" applyNumberFormat="1" applyFont="1" applyFill="1" applyBorder="1" applyAlignment="1"/>
    <xf numFmtId="0" fontId="8" fillId="8" borderId="1" xfId="0" applyFont="1" applyFill="1" applyBorder="1" applyAlignment="1">
      <alignment vertical="center" wrapText="1"/>
    </xf>
    <xf numFmtId="3" fontId="8" fillId="8" borderId="0" xfId="0" applyNumberFormat="1" applyFont="1" applyFill="1" applyBorder="1" applyAlignment="1">
      <alignment horizontal="center" vertical="center" wrapText="1"/>
    </xf>
    <xf numFmtId="3" fontId="80" fillId="8" borderId="0" xfId="0" applyNumberFormat="1" applyFont="1" applyFill="1"/>
    <xf numFmtId="0" fontId="20" fillId="8" borderId="0" xfId="0" applyFont="1" applyFill="1"/>
    <xf numFmtId="49" fontId="15" fillId="0" borderId="17" xfId="0" applyNumberFormat="1" applyFont="1" applyBorder="1" applyAlignment="1">
      <alignment horizontal="center" vertical="top" wrapText="1"/>
    </xf>
    <xf numFmtId="49" fontId="8" fillId="8" borderId="5" xfId="0" applyNumberFormat="1" applyFont="1" applyFill="1" applyBorder="1" applyAlignment="1">
      <alignment horizontal="center" vertical="top" wrapText="1" shrinkToFit="1"/>
    </xf>
    <xf numFmtId="0" fontId="8" fillId="8" borderId="5" xfId="0" applyFont="1" applyFill="1" applyBorder="1" applyAlignment="1">
      <alignment vertical="top" wrapText="1" shrinkToFit="1"/>
    </xf>
    <xf numFmtId="4" fontId="151" fillId="0" borderId="0" xfId="0" applyNumberFormat="1" applyFont="1" applyFill="1" applyAlignment="1">
      <alignment horizontal="center" wrapText="1"/>
    </xf>
    <xf numFmtId="3" fontId="120" fillId="10" borderId="0" xfId="0" applyNumberFormat="1" applyFont="1" applyFill="1" applyBorder="1" applyAlignment="1">
      <alignment wrapText="1"/>
    </xf>
    <xf numFmtId="4" fontId="2" fillId="4" borderId="0" xfId="0" applyNumberFormat="1" applyFont="1" applyFill="1" applyBorder="1" applyAlignment="1">
      <alignment wrapText="1"/>
    </xf>
    <xf numFmtId="4" fontId="83" fillId="4" borderId="0" xfId="0" applyNumberFormat="1" applyFont="1" applyFill="1" applyBorder="1"/>
    <xf numFmtId="4" fontId="13" fillId="9" borderId="0" xfId="0" applyNumberFormat="1" applyFont="1" applyFill="1"/>
    <xf numFmtId="0" fontId="13" fillId="13" borderId="2" xfId="1" applyFont="1" applyFill="1" applyBorder="1" applyAlignment="1">
      <alignment horizontal="left" vertical="center" wrapText="1"/>
    </xf>
    <xf numFmtId="1" fontId="15" fillId="13" borderId="9" xfId="0" applyNumberFormat="1" applyFont="1" applyFill="1" applyBorder="1" applyAlignment="1">
      <alignment horizontal="center" wrapText="1"/>
    </xf>
    <xf numFmtId="49" fontId="13" fillId="13" borderId="2" xfId="0" applyNumberFormat="1" applyFont="1" applyFill="1" applyBorder="1" applyAlignment="1">
      <alignment horizontal="center" vertical="center" wrapText="1"/>
    </xf>
    <xf numFmtId="1" fontId="15" fillId="13" borderId="9" xfId="0" applyNumberFormat="1" applyFont="1" applyFill="1" applyBorder="1" applyAlignment="1">
      <alignment horizontal="center" wrapText="1"/>
    </xf>
    <xf numFmtId="0" fontId="13" fillId="13" borderId="2" xfId="1" applyFont="1" applyFill="1" applyBorder="1" applyAlignment="1">
      <alignment horizontal="left" vertical="center" wrapText="1"/>
    </xf>
    <xf numFmtId="49" fontId="13" fillId="13" borderId="2" xfId="0" applyNumberFormat="1" applyFont="1" applyFill="1" applyBorder="1" applyAlignment="1">
      <alignment horizontal="center" vertical="center" wrapText="1"/>
    </xf>
    <xf numFmtId="49" fontId="8" fillId="8" borderId="8" xfId="0" applyNumberFormat="1" applyFont="1" applyFill="1" applyBorder="1" applyAlignment="1">
      <alignment horizontal="center" vertical="top"/>
    </xf>
    <xf numFmtId="0" fontId="8" fillId="0" borderId="1" xfId="9" applyFont="1" applyFill="1" applyBorder="1" applyAlignment="1">
      <alignment horizontal="left" vertical="center" wrapText="1"/>
    </xf>
    <xf numFmtId="0" fontId="8" fillId="0" borderId="5" xfId="9" applyFont="1" applyFill="1" applyBorder="1" applyAlignment="1">
      <alignment horizontal="left" vertical="center" wrapText="1"/>
    </xf>
    <xf numFmtId="0" fontId="8" fillId="0" borderId="1" xfId="0" applyFont="1" applyFill="1" applyBorder="1" applyAlignment="1">
      <alignment wrapText="1"/>
    </xf>
    <xf numFmtId="0" fontId="8" fillId="0" borderId="1" xfId="0" applyFont="1" applyFill="1" applyBorder="1" applyAlignment="1">
      <alignment horizontal="justify" vertical="center" wrapText="1"/>
    </xf>
    <xf numFmtId="4" fontId="8" fillId="0" borderId="1" xfId="0" applyNumberFormat="1" applyFont="1" applyFill="1" applyBorder="1" applyAlignment="1"/>
    <xf numFmtId="4" fontId="27" fillId="9" borderId="1" xfId="0" applyNumberFormat="1" applyFont="1" applyFill="1" applyBorder="1" applyAlignment="1">
      <alignment vertical="center"/>
    </xf>
    <xf numFmtId="4" fontId="57" fillId="0" borderId="1" xfId="0" applyNumberFormat="1" applyFont="1" applyFill="1" applyBorder="1" applyAlignment="1">
      <alignment vertical="center"/>
    </xf>
    <xf numFmtId="4" fontId="8" fillId="0" borderId="1" xfId="0" applyNumberFormat="1" applyFont="1" applyFill="1" applyBorder="1" applyAlignment="1">
      <alignment vertical="center"/>
    </xf>
    <xf numFmtId="4" fontId="8" fillId="8" borderId="1" xfId="8" applyNumberFormat="1" applyFont="1" applyFill="1" applyBorder="1" applyAlignment="1">
      <alignment vertical="center" wrapText="1"/>
    </xf>
    <xf numFmtId="4" fontId="117" fillId="0" borderId="1" xfId="0" applyNumberFormat="1" applyFont="1" applyBorder="1" applyAlignment="1">
      <alignment vertical="center"/>
    </xf>
    <xf numFmtId="4" fontId="8" fillId="0" borderId="1" xfId="8" applyNumberFormat="1" applyFont="1" applyFill="1" applyBorder="1" applyAlignment="1">
      <alignment vertical="center" wrapText="1"/>
    </xf>
    <xf numFmtId="4" fontId="8" fillId="0" borderId="1" xfId="9" applyNumberFormat="1" applyFont="1" applyFill="1" applyBorder="1" applyAlignment="1">
      <alignment horizontal="right" vertical="top" wrapText="1"/>
    </xf>
    <xf numFmtId="4" fontId="117" fillId="8" borderId="1" xfId="0" applyNumberFormat="1" applyFont="1" applyFill="1" applyBorder="1" applyAlignment="1">
      <alignment horizontal="right" vertical="center" wrapText="1"/>
    </xf>
    <xf numFmtId="4" fontId="117" fillId="8" borderId="1" xfId="0" applyNumberFormat="1" applyFont="1" applyFill="1" applyBorder="1" applyAlignment="1">
      <alignment horizontal="right" vertical="top" wrapText="1"/>
    </xf>
    <xf numFmtId="4" fontId="117" fillId="0" borderId="1" xfId="0" applyNumberFormat="1" applyFont="1" applyFill="1" applyBorder="1" applyAlignment="1">
      <alignment horizontal="right" vertical="top" wrapText="1"/>
    </xf>
    <xf numFmtId="4" fontId="142" fillId="8" borderId="1" xfId="0" applyNumberFormat="1" applyFont="1" applyFill="1" applyBorder="1" applyAlignment="1">
      <alignment horizontal="right" vertical="center" wrapText="1"/>
    </xf>
    <xf numFmtId="4" fontId="142" fillId="8" borderId="1" xfId="9" applyNumberFormat="1" applyFont="1" applyFill="1" applyBorder="1" applyAlignment="1">
      <alignment horizontal="right" vertical="center" wrapText="1"/>
    </xf>
    <xf numFmtId="186" fontId="8" fillId="0" borderId="1" xfId="0" applyNumberFormat="1" applyFont="1" applyFill="1" applyBorder="1" applyAlignment="1">
      <alignment horizontal="right" vertical="center"/>
    </xf>
    <xf numFmtId="4" fontId="141" fillId="8" borderId="1" xfId="0" applyNumberFormat="1" applyFont="1" applyFill="1" applyBorder="1" applyAlignment="1">
      <alignment horizontal="right" vertical="center" wrapText="1"/>
    </xf>
    <xf numFmtId="4" fontId="141" fillId="0" borderId="1" xfId="0" applyNumberFormat="1" applyFont="1" applyFill="1" applyBorder="1" applyAlignment="1">
      <alignment horizontal="right" vertical="top" wrapText="1"/>
    </xf>
    <xf numFmtId="4" fontId="117" fillId="0" borderId="1" xfId="9" applyNumberFormat="1" applyFont="1" applyFill="1" applyBorder="1" applyAlignment="1">
      <alignment horizontal="right" vertical="center"/>
    </xf>
    <xf numFmtId="4" fontId="8" fillId="0" borderId="2" xfId="0" applyNumberFormat="1" applyFont="1" applyFill="1" applyBorder="1" applyAlignment="1">
      <alignment horizontal="right" vertical="top" wrapText="1"/>
    </xf>
    <xf numFmtId="186" fontId="150" fillId="8" borderId="1" xfId="9" applyNumberFormat="1" applyFont="1" applyFill="1" applyBorder="1" applyAlignment="1">
      <alignment horizontal="right" vertical="center" wrapText="1"/>
    </xf>
    <xf numFmtId="4" fontId="98" fillId="0" borderId="1" xfId="9" applyNumberFormat="1" applyFont="1" applyFill="1" applyBorder="1" applyAlignment="1">
      <alignment horizontal="right" vertical="center" wrapText="1"/>
    </xf>
    <xf numFmtId="4" fontId="98" fillId="0" borderId="1" xfId="0" applyNumberFormat="1" applyFont="1" applyFill="1" applyBorder="1" applyAlignment="1">
      <alignment horizontal="right" vertical="center"/>
    </xf>
    <xf numFmtId="4" fontId="142" fillId="0" borderId="1" xfId="0" applyNumberFormat="1" applyFont="1" applyFill="1" applyBorder="1" applyAlignment="1">
      <alignment horizontal="right" vertical="center" wrapText="1"/>
    </xf>
    <xf numFmtId="4" fontId="142" fillId="0" borderId="1" xfId="9" applyNumberFormat="1" applyFont="1" applyFill="1" applyBorder="1" applyAlignment="1">
      <alignment horizontal="right" vertical="center" wrapText="1"/>
    </xf>
    <xf numFmtId="3" fontId="98" fillId="0" borderId="1" xfId="0" applyNumberFormat="1" applyFont="1" applyFill="1" applyBorder="1" applyAlignment="1">
      <alignment horizontal="right" vertical="center"/>
    </xf>
    <xf numFmtId="4" fontId="117" fillId="0" borderId="1" xfId="0" applyNumberFormat="1" applyFont="1" applyBorder="1" applyAlignment="1">
      <alignment horizontal="right" vertical="center" wrapText="1"/>
    </xf>
    <xf numFmtId="4" fontId="140" fillId="0" borderId="1" xfId="0" applyNumberFormat="1" applyFont="1" applyFill="1" applyBorder="1" applyAlignment="1">
      <alignment horizontal="right" vertical="center"/>
    </xf>
    <xf numFmtId="186" fontId="8" fillId="0" borderId="1" xfId="9" applyNumberFormat="1" applyFont="1" applyFill="1" applyBorder="1" applyAlignment="1">
      <alignment horizontal="right" vertical="center" wrapText="1"/>
    </xf>
    <xf numFmtId="4" fontId="117" fillId="8" borderId="1" xfId="9" applyNumberFormat="1" applyFont="1" applyFill="1" applyBorder="1" applyAlignment="1">
      <alignment horizontal="right" vertical="center" wrapText="1"/>
    </xf>
    <xf numFmtId="4" fontId="8" fillId="0" borderId="2" xfId="9" applyNumberFormat="1" applyFont="1" applyFill="1" applyBorder="1" applyAlignment="1">
      <alignment horizontal="right" vertical="top" wrapText="1"/>
    </xf>
    <xf numFmtId="4" fontId="98" fillId="8" borderId="1" xfId="0" applyNumberFormat="1" applyFont="1" applyFill="1" applyBorder="1" applyAlignment="1">
      <alignment horizontal="right" vertical="top" wrapText="1"/>
    </xf>
    <xf numFmtId="4" fontId="117" fillId="0" borderId="1" xfId="10" applyNumberFormat="1" applyFont="1" applyFill="1" applyBorder="1" applyAlignment="1">
      <alignment horizontal="right" vertical="center"/>
    </xf>
    <xf numFmtId="184" fontId="8" fillId="0" borderId="5" xfId="9" applyNumberFormat="1" applyFont="1" applyFill="1" applyBorder="1" applyAlignment="1">
      <alignment horizontal="right" vertical="center" wrapText="1"/>
    </xf>
    <xf numFmtId="4" fontId="147" fillId="8" borderId="1" xfId="9" applyNumberFormat="1" applyFont="1" applyFill="1" applyBorder="1" applyAlignment="1">
      <alignment horizontal="right" vertical="center" wrapText="1"/>
    </xf>
    <xf numFmtId="186" fontId="150" fillId="0" borderId="1" xfId="9" applyNumberFormat="1" applyFont="1" applyFill="1" applyBorder="1" applyAlignment="1">
      <alignment horizontal="right" vertical="center" wrapText="1"/>
    </xf>
    <xf numFmtId="4" fontId="152" fillId="0" borderId="1" xfId="0" applyNumberFormat="1" applyFont="1" applyFill="1" applyBorder="1" applyAlignment="1">
      <alignment horizontal="right" wrapText="1"/>
    </xf>
    <xf numFmtId="4" fontId="117" fillId="0" borderId="1" xfId="2" applyNumberFormat="1" applyFont="1" applyFill="1" applyBorder="1" applyAlignment="1">
      <alignment horizontal="right"/>
    </xf>
    <xf numFmtId="4" fontId="117" fillId="0" borderId="5" xfId="9" applyNumberFormat="1" applyFont="1" applyFill="1" applyBorder="1" applyAlignment="1">
      <alignment horizontal="right" vertical="top" wrapText="1"/>
    </xf>
    <xf numFmtId="4" fontId="117" fillId="0" borderId="8" xfId="9" applyNumberFormat="1" applyFont="1" applyFill="1" applyBorder="1" applyAlignment="1">
      <alignment horizontal="right" vertical="top" wrapText="1"/>
    </xf>
    <xf numFmtId="4" fontId="141" fillId="8" borderId="1" xfId="0" applyNumberFormat="1" applyFont="1" applyFill="1" applyBorder="1" applyAlignment="1">
      <alignment horizontal="right" vertical="top" wrapText="1"/>
    </xf>
    <xf numFmtId="4" fontId="117" fillId="0" borderId="1" xfId="0" applyNumberFormat="1" applyFont="1" applyFill="1" applyBorder="1" applyAlignment="1">
      <alignment horizontal="right" wrapText="1"/>
    </xf>
    <xf numFmtId="4" fontId="13" fillId="13" borderId="5" xfId="0" applyNumberFormat="1" applyFont="1" applyFill="1" applyBorder="1" applyAlignment="1">
      <alignment vertical="center"/>
    </xf>
    <xf numFmtId="4" fontId="13" fillId="13" borderId="8" xfId="0" applyNumberFormat="1" applyFont="1" applyFill="1" applyBorder="1" applyAlignment="1">
      <alignment vertical="center"/>
    </xf>
    <xf numFmtId="4" fontId="13" fillId="13" borderId="2" xfId="0" applyNumberFormat="1" applyFont="1" applyFill="1" applyBorder="1" applyAlignment="1">
      <alignment vertical="center"/>
    </xf>
    <xf numFmtId="0" fontId="15" fillId="0" borderId="1" xfId="0" applyFont="1" applyFill="1" applyBorder="1" applyAlignment="1">
      <alignment horizontal="justify" vertical="center" wrapText="1"/>
    </xf>
    <xf numFmtId="0" fontId="15" fillId="2" borderId="12" xfId="0" applyFont="1" applyFill="1" applyBorder="1" applyAlignment="1">
      <alignment horizontal="left" vertical="center" wrapText="1"/>
    </xf>
    <xf numFmtId="0" fontId="77" fillId="8" borderId="4" xfId="0" applyFont="1" applyFill="1" applyBorder="1" applyAlignment="1">
      <alignment horizontal="center" vertical="center" wrapText="1"/>
    </xf>
    <xf numFmtId="0" fontId="77" fillId="2" borderId="1" xfId="0" applyFont="1" applyFill="1" applyBorder="1" applyAlignment="1">
      <alignment horizontal="center" vertical="center" wrapText="1"/>
    </xf>
    <xf numFmtId="4" fontId="22" fillId="8" borderId="2" xfId="0" applyNumberFormat="1" applyFont="1" applyFill="1" applyBorder="1" applyAlignment="1">
      <alignment horizontal="left" vertical="center" wrapText="1"/>
    </xf>
    <xf numFmtId="49" fontId="15" fillId="8" borderId="1" xfId="0" applyNumberFormat="1" applyFont="1" applyFill="1" applyBorder="1" applyAlignment="1">
      <alignment vertical="top" wrapText="1"/>
    </xf>
    <xf numFmtId="49" fontId="15" fillId="8" borderId="1" xfId="0" applyNumberFormat="1" applyFont="1" applyFill="1" applyBorder="1" applyAlignment="1">
      <alignment vertical="center" wrapText="1"/>
    </xf>
    <xf numFmtId="4" fontId="22" fillId="0" borderId="1" xfId="0" applyNumberFormat="1" applyFont="1" applyBorder="1" applyAlignment="1">
      <alignment horizontal="left" vertical="center" wrapText="1"/>
    </xf>
    <xf numFmtId="4" fontId="22" fillId="0" borderId="0" xfId="0" applyNumberFormat="1" applyFont="1" applyAlignment="1">
      <alignment horizontal="left" vertical="top" wrapText="1"/>
    </xf>
    <xf numFmtId="4" fontId="22" fillId="0" borderId="2" xfId="0" applyNumberFormat="1" applyFont="1" applyBorder="1" applyAlignment="1">
      <alignment horizontal="left" vertical="center" wrapText="1"/>
    </xf>
    <xf numFmtId="4" fontId="22" fillId="8" borderId="8" xfId="0" applyNumberFormat="1" applyFont="1" applyFill="1" applyBorder="1" applyAlignment="1">
      <alignment horizontal="left" vertical="center" wrapText="1"/>
    </xf>
    <xf numFmtId="0" fontId="22" fillId="2" borderId="1" xfId="0" applyFont="1" applyFill="1" applyBorder="1" applyAlignment="1">
      <alignment vertical="center" wrapText="1"/>
    </xf>
    <xf numFmtId="0" fontId="22" fillId="8" borderId="2" xfId="0" applyFont="1" applyFill="1" applyBorder="1" applyAlignment="1">
      <alignment vertical="center" wrapText="1"/>
    </xf>
    <xf numFmtId="0" fontId="22" fillId="2" borderId="5" xfId="0" applyFont="1" applyFill="1" applyBorder="1" applyAlignment="1">
      <alignment vertical="center" wrapText="1"/>
    </xf>
    <xf numFmtId="0" fontId="22" fillId="2" borderId="5" xfId="0" applyFont="1" applyFill="1" applyBorder="1" applyAlignment="1">
      <alignment horizontal="left" vertical="center" wrapText="1"/>
    </xf>
    <xf numFmtId="0" fontId="22" fillId="8" borderId="5" xfId="0" applyFont="1" applyFill="1" applyBorder="1" applyAlignment="1">
      <alignment vertical="center" wrapText="1"/>
    </xf>
    <xf numFmtId="0" fontId="22" fillId="0" borderId="5" xfId="0" applyFont="1" applyFill="1" applyBorder="1" applyAlignment="1">
      <alignment vertical="center" wrapText="1"/>
    </xf>
    <xf numFmtId="0" fontId="22" fillId="8" borderId="1" xfId="0" applyFont="1" applyFill="1" applyBorder="1" applyAlignment="1">
      <alignment vertical="center" wrapText="1"/>
    </xf>
    <xf numFmtId="0" fontId="77" fillId="2" borderId="1" xfId="0" applyFont="1" applyFill="1" applyBorder="1" applyAlignment="1">
      <alignment horizontal="center" vertical="center"/>
    </xf>
    <xf numFmtId="0" fontId="77" fillId="8" borderId="1" xfId="0" applyFont="1" applyFill="1" applyBorder="1" applyAlignment="1" applyProtection="1">
      <alignment horizontal="left" vertical="top" wrapText="1"/>
    </xf>
    <xf numFmtId="1" fontId="33" fillId="8" borderId="1" xfId="0" applyNumberFormat="1" applyFont="1" applyFill="1" applyBorder="1" applyAlignment="1">
      <alignment horizontal="center" vertical="center"/>
    </xf>
    <xf numFmtId="4" fontId="57" fillId="8" borderId="2" xfId="0" applyNumberFormat="1" applyFont="1" applyFill="1" applyBorder="1" applyAlignment="1">
      <alignment horizontal="left" vertical="center" wrapText="1"/>
    </xf>
    <xf numFmtId="3" fontId="15" fillId="13" borderId="15" xfId="0" applyNumberFormat="1" applyFont="1" applyFill="1" applyBorder="1" applyAlignment="1">
      <alignment vertical="center" wrapText="1"/>
    </xf>
    <xf numFmtId="3" fontId="15" fillId="13" borderId="10" xfId="0" applyNumberFormat="1" applyFont="1" applyFill="1" applyBorder="1" applyAlignment="1">
      <alignment vertical="center" wrapText="1"/>
    </xf>
    <xf numFmtId="3" fontId="15" fillId="13" borderId="5" xfId="0" applyNumberFormat="1" applyFont="1" applyFill="1" applyBorder="1" applyAlignment="1">
      <alignment vertical="center" wrapText="1"/>
    </xf>
    <xf numFmtId="3" fontId="15" fillId="13" borderId="8" xfId="0" applyNumberFormat="1" applyFont="1" applyFill="1" applyBorder="1" applyAlignment="1">
      <alignment vertical="center" wrapText="1"/>
    </xf>
    <xf numFmtId="3" fontId="15" fillId="13" borderId="2" xfId="0" applyNumberFormat="1" applyFont="1" applyFill="1" applyBorder="1" applyAlignment="1">
      <alignment vertical="center" wrapText="1"/>
    </xf>
    <xf numFmtId="3" fontId="134" fillId="7" borderId="0" xfId="0" applyNumberFormat="1" applyFont="1" applyFill="1"/>
    <xf numFmtId="49" fontId="143" fillId="0" borderId="1" xfId="7" applyNumberFormat="1" applyFont="1" applyFill="1" applyBorder="1" applyAlignment="1">
      <alignment horizontal="center" vertical="center" wrapText="1"/>
    </xf>
    <xf numFmtId="4" fontId="117" fillId="0" borderId="1" xfId="8" applyNumberFormat="1" applyFont="1" applyFill="1" applyBorder="1" applyAlignment="1">
      <alignment vertical="center" wrapText="1"/>
    </xf>
    <xf numFmtId="4" fontId="117" fillId="0" borderId="1" xfId="0" applyNumberFormat="1" applyFont="1" applyFill="1" applyBorder="1" applyAlignment="1">
      <alignment vertical="center"/>
    </xf>
    <xf numFmtId="0" fontId="99" fillId="0" borderId="1" xfId="8" applyFont="1" applyFill="1" applyBorder="1" applyAlignment="1">
      <alignment horizontal="left" vertical="center" wrapText="1"/>
    </xf>
    <xf numFmtId="4" fontId="99" fillId="0" borderId="1" xfId="8" applyNumberFormat="1" applyFont="1" applyFill="1" applyBorder="1" applyAlignment="1">
      <alignment vertical="center" wrapText="1"/>
    </xf>
    <xf numFmtId="1" fontId="117" fillId="0" borderId="0" xfId="0" applyNumberFormat="1" applyFont="1" applyFill="1"/>
    <xf numFmtId="0" fontId="117" fillId="0" borderId="0" xfId="5" applyFont="1"/>
    <xf numFmtId="0" fontId="99" fillId="0" borderId="0" xfId="5" applyFont="1" applyBorder="1"/>
    <xf numFmtId="0" fontId="117" fillId="0" borderId="0" xfId="5" applyFont="1" applyBorder="1"/>
    <xf numFmtId="0" fontId="117" fillId="0" borderId="0" xfId="0" applyFont="1" applyAlignment="1">
      <alignment horizontal="center" wrapText="1"/>
    </xf>
    <xf numFmtId="0" fontId="104" fillId="8" borderId="0" xfId="0" applyFont="1" applyFill="1" applyAlignment="1">
      <alignment horizontal="left" wrapText="1"/>
    </xf>
    <xf numFmtId="0" fontId="104" fillId="8" borderId="0" xfId="0" applyFont="1" applyFill="1" applyAlignment="1">
      <alignment horizontal="center"/>
    </xf>
    <xf numFmtId="0" fontId="103" fillId="0" borderId="0" xfId="0" applyFont="1"/>
    <xf numFmtId="0" fontId="135" fillId="0" borderId="0" xfId="0" applyFont="1"/>
    <xf numFmtId="0" fontId="117" fillId="0" borderId="0" xfId="0" applyFont="1" applyAlignment="1">
      <alignment horizontal="left" wrapText="1"/>
    </xf>
    <xf numFmtId="0" fontId="104" fillId="8" borderId="0" xfId="0" applyFont="1" applyFill="1" applyAlignment="1">
      <alignment horizontal="left"/>
    </xf>
    <xf numFmtId="49" fontId="136" fillId="0" borderId="0" xfId="5" applyNumberFormat="1" applyFont="1" applyAlignment="1">
      <alignment horizontal="left"/>
    </xf>
    <xf numFmtId="0" fontId="137" fillId="0" borderId="0" xfId="0" applyFont="1" applyFill="1" applyAlignment="1">
      <alignment horizontal="center" wrapText="1"/>
    </xf>
    <xf numFmtId="0" fontId="99" fillId="0" borderId="0" xfId="5" applyFont="1" applyAlignment="1">
      <alignment horizontal="left"/>
    </xf>
    <xf numFmtId="0" fontId="99" fillId="0" borderId="0" xfId="0" applyFont="1" applyBorder="1" applyAlignment="1">
      <alignment horizontal="center" wrapText="1"/>
    </xf>
    <xf numFmtId="0" fontId="122" fillId="8" borderId="0" xfId="0" applyFont="1" applyFill="1" applyBorder="1" applyAlignment="1">
      <alignment horizontal="left" wrapText="1"/>
    </xf>
    <xf numFmtId="0" fontId="122" fillId="8" borderId="0" xfId="0" applyFont="1" applyFill="1" applyBorder="1" applyAlignment="1">
      <alignment horizontal="center"/>
    </xf>
    <xf numFmtId="0" fontId="117" fillId="0" borderId="0" xfId="0" applyFont="1"/>
    <xf numFmtId="0" fontId="117" fillId="8" borderId="5" xfId="1" applyFont="1" applyFill="1" applyBorder="1" applyAlignment="1">
      <alignment horizontal="center" vertical="center" wrapText="1"/>
    </xf>
    <xf numFmtId="4" fontId="117" fillId="0" borderId="0" xfId="0" applyNumberFormat="1" applyFont="1"/>
    <xf numFmtId="0" fontId="117" fillId="8" borderId="2" xfId="1" applyFont="1" applyFill="1" applyBorder="1" applyAlignment="1">
      <alignment horizontal="center" vertical="center" wrapText="1"/>
    </xf>
    <xf numFmtId="0" fontId="117" fillId="8" borderId="8" xfId="1" applyFont="1" applyFill="1" applyBorder="1" applyAlignment="1">
      <alignment horizontal="center" vertical="center" wrapText="1"/>
    </xf>
    <xf numFmtId="0" fontId="107" fillId="8" borderId="1" xfId="0" applyFont="1" applyFill="1" applyBorder="1" applyAlignment="1">
      <alignment horizontal="left" vertical="center" wrapText="1"/>
    </xf>
    <xf numFmtId="3" fontId="117" fillId="0" borderId="1" xfId="0" applyNumberFormat="1" applyFont="1" applyFill="1" applyBorder="1" applyAlignment="1">
      <alignment vertical="center"/>
    </xf>
    <xf numFmtId="186" fontId="117" fillId="8" borderId="1" xfId="0" applyNumberFormat="1" applyFont="1" applyFill="1" applyBorder="1" applyAlignment="1">
      <alignment horizontal="left" vertical="center" wrapText="1"/>
    </xf>
    <xf numFmtId="0" fontId="117" fillId="0" borderId="0" xfId="0" applyFont="1" applyBorder="1" applyAlignment="1">
      <alignment horizontal="center" vertical="center" wrapText="1"/>
    </xf>
    <xf numFmtId="0" fontId="99" fillId="8" borderId="0" xfId="0" applyFont="1" applyFill="1" applyBorder="1" applyAlignment="1">
      <alignment horizontal="left" wrapText="1"/>
    </xf>
    <xf numFmtId="3" fontId="99" fillId="8" borderId="0" xfId="0" applyNumberFormat="1" applyFont="1" applyFill="1" applyBorder="1" applyAlignment="1">
      <alignment horizontal="center" wrapText="1"/>
    </xf>
    <xf numFmtId="3" fontId="117" fillId="3" borderId="0" xfId="0" applyNumberFormat="1" applyFont="1" applyFill="1"/>
    <xf numFmtId="0" fontId="117" fillId="8" borderId="0" xfId="5" applyFont="1" applyFill="1" applyBorder="1" applyAlignment="1">
      <alignment horizontal="left" wrapText="1"/>
    </xf>
    <xf numFmtId="0" fontId="116" fillId="8" borderId="0" xfId="5" applyFont="1" applyFill="1"/>
    <xf numFmtId="0" fontId="99" fillId="8" borderId="0" xfId="5" applyFont="1" applyFill="1" applyBorder="1"/>
    <xf numFmtId="0" fontId="117" fillId="8" borderId="0" xfId="5" applyFont="1" applyFill="1" applyBorder="1"/>
    <xf numFmtId="0" fontId="117" fillId="0" borderId="0" xfId="0" applyFont="1" applyAlignment="1">
      <alignment wrapText="1"/>
    </xf>
    <xf numFmtId="0" fontId="117" fillId="8" borderId="0" xfId="0" applyFont="1" applyFill="1" applyAlignment="1">
      <alignment horizontal="left" wrapText="1"/>
    </xf>
    <xf numFmtId="0" fontId="117" fillId="8" borderId="0" xfId="0" applyFont="1" applyFill="1"/>
    <xf numFmtId="3" fontId="117" fillId="8" borderId="0" xfId="0" applyNumberFormat="1" applyFont="1" applyFill="1"/>
    <xf numFmtId="0" fontId="99" fillId="0" borderId="0" xfId="0" applyFont="1" applyAlignment="1">
      <alignment wrapText="1"/>
    </xf>
    <xf numFmtId="0" fontId="99" fillId="8" borderId="0" xfId="0" applyFont="1" applyFill="1" applyAlignment="1">
      <alignment horizontal="left" wrapText="1"/>
    </xf>
    <xf numFmtId="3" fontId="99" fillId="8" borderId="0" xfId="0" applyNumberFormat="1" applyFont="1" applyFill="1"/>
    <xf numFmtId="3" fontId="99" fillId="0" borderId="0" xfId="0" applyNumberFormat="1" applyFont="1" applyFill="1"/>
    <xf numFmtId="0" fontId="99" fillId="0" borderId="0" xfId="0" applyFont="1"/>
    <xf numFmtId="3" fontId="117" fillId="0" borderId="0" xfId="0" applyNumberFormat="1" applyFont="1" applyFill="1"/>
    <xf numFmtId="0" fontId="117" fillId="0" borderId="1" xfId="0" applyFont="1" applyBorder="1" applyAlignment="1">
      <alignment horizontal="right" vertical="center" wrapText="1"/>
    </xf>
    <xf numFmtId="4" fontId="117" fillId="0" borderId="1" xfId="13" applyNumberFormat="1" applyFont="1" applyFill="1" applyBorder="1" applyAlignment="1">
      <alignment horizontal="right" vertical="center"/>
    </xf>
    <xf numFmtId="1" fontId="117" fillId="0" borderId="1" xfId="0" applyNumberFormat="1" applyFont="1" applyFill="1" applyBorder="1" applyAlignment="1">
      <alignment horizontal="right" vertical="center" wrapText="1"/>
    </xf>
    <xf numFmtId="0" fontId="117" fillId="0" borderId="2" xfId="0" applyFont="1" applyBorder="1" applyAlignment="1">
      <alignment horizontal="right" vertical="center" wrapText="1"/>
    </xf>
    <xf numFmtId="1" fontId="117" fillId="0" borderId="2" xfId="0" applyNumberFormat="1" applyFont="1" applyFill="1" applyBorder="1" applyAlignment="1">
      <alignment horizontal="right" vertical="center" wrapText="1"/>
    </xf>
    <xf numFmtId="3" fontId="117" fillId="8" borderId="1" xfId="0" applyNumberFormat="1" applyFont="1" applyFill="1" applyBorder="1" applyAlignment="1">
      <alignment horizontal="right" vertical="center" wrapText="1"/>
    </xf>
    <xf numFmtId="0" fontId="117" fillId="8" borderId="2" xfId="0" applyFont="1" applyFill="1" applyBorder="1" applyAlignment="1">
      <alignment horizontal="right" vertical="center" wrapText="1"/>
    </xf>
    <xf numFmtId="1" fontId="117" fillId="8" borderId="2" xfId="0" applyNumberFormat="1" applyFont="1" applyFill="1" applyBorder="1" applyAlignment="1">
      <alignment horizontal="right" vertical="center" wrapText="1"/>
    </xf>
    <xf numFmtId="4" fontId="117" fillId="2" borderId="1" xfId="13" applyNumberFormat="1" applyFont="1" applyFill="1" applyBorder="1" applyAlignment="1">
      <alignment horizontal="right" vertical="center"/>
    </xf>
    <xf numFmtId="186" fontId="117" fillId="8" borderId="1" xfId="0" applyNumberFormat="1" applyFont="1" applyFill="1" applyBorder="1" applyAlignment="1">
      <alignment horizontal="right" vertical="center"/>
    </xf>
    <xf numFmtId="4" fontId="117" fillId="0" borderId="2" xfId="12" applyNumberFormat="1" applyFont="1" applyFill="1" applyBorder="1" applyAlignment="1">
      <alignment horizontal="right" vertical="center"/>
    </xf>
    <xf numFmtId="3" fontId="117" fillId="8" borderId="1" xfId="12" applyNumberFormat="1" applyFont="1" applyFill="1" applyBorder="1" applyAlignment="1">
      <alignment horizontal="right" vertical="center"/>
    </xf>
    <xf numFmtId="4" fontId="99" fillId="4" borderId="1" xfId="0" applyNumberFormat="1" applyFont="1" applyFill="1" applyBorder="1" applyAlignment="1">
      <alignment horizontal="right" vertical="top"/>
    </xf>
    <xf numFmtId="3" fontId="117" fillId="0" borderId="1" xfId="0" applyNumberFormat="1" applyFont="1" applyFill="1" applyBorder="1" applyAlignment="1">
      <alignment horizontal="right" vertical="center" wrapText="1"/>
    </xf>
    <xf numFmtId="186" fontId="117" fillId="8" borderId="1" xfId="0" applyNumberFormat="1" applyFont="1" applyFill="1" applyBorder="1" applyAlignment="1">
      <alignment horizontal="right" vertical="center" wrapText="1"/>
    </xf>
    <xf numFmtId="0" fontId="125" fillId="0" borderId="1" xfId="0" applyFont="1" applyBorder="1" applyAlignment="1">
      <alignment horizontal="right"/>
    </xf>
    <xf numFmtId="4" fontId="117" fillId="8" borderId="2" xfId="0" applyNumberFormat="1" applyFont="1" applyFill="1" applyBorder="1" applyAlignment="1">
      <alignment horizontal="right" vertical="center" wrapText="1"/>
    </xf>
    <xf numFmtId="186" fontId="117" fillId="8" borderId="2" xfId="0" applyNumberFormat="1" applyFont="1" applyFill="1" applyBorder="1" applyAlignment="1">
      <alignment horizontal="right" vertical="center" wrapText="1"/>
    </xf>
    <xf numFmtId="4" fontId="117" fillId="0" borderId="2" xfId="0" applyNumberFormat="1" applyFont="1" applyFill="1" applyBorder="1" applyAlignment="1">
      <alignment horizontal="right" vertical="center" wrapText="1"/>
    </xf>
    <xf numFmtId="3" fontId="117" fillId="8" borderId="2" xfId="0" applyNumberFormat="1" applyFont="1" applyFill="1" applyBorder="1" applyAlignment="1">
      <alignment horizontal="right" vertical="center" wrapText="1"/>
    </xf>
    <xf numFmtId="0" fontId="117" fillId="8" borderId="1" xfId="0" applyFont="1" applyFill="1" applyBorder="1" applyAlignment="1">
      <alignment horizontal="right" vertical="center" wrapText="1"/>
    </xf>
    <xf numFmtId="4" fontId="117" fillId="0" borderId="1" xfId="0" applyNumberFormat="1" applyFont="1" applyBorder="1" applyAlignment="1">
      <alignment horizontal="right" vertical="center"/>
    </xf>
    <xf numFmtId="49" fontId="117" fillId="0" borderId="1" xfId="0" applyNumberFormat="1" applyFont="1" applyBorder="1" applyAlignment="1">
      <alignment horizontal="right" vertical="center"/>
    </xf>
    <xf numFmtId="49" fontId="117" fillId="8" borderId="1" xfId="0" applyNumberFormat="1" applyFont="1" applyFill="1" applyBorder="1" applyAlignment="1">
      <alignment horizontal="right" vertical="center"/>
    </xf>
    <xf numFmtId="187" fontId="117" fillId="0" borderId="1" xfId="0" applyNumberFormat="1" applyFont="1" applyFill="1" applyBorder="1" applyAlignment="1">
      <alignment horizontal="right" vertical="center"/>
    </xf>
    <xf numFmtId="4" fontId="117" fillId="0" borderId="2" xfId="0" applyNumberFormat="1" applyFont="1" applyFill="1" applyBorder="1" applyAlignment="1">
      <alignment horizontal="right" vertical="center"/>
    </xf>
    <xf numFmtId="4" fontId="117" fillId="2" borderId="1" xfId="0" applyNumberFormat="1" applyFont="1" applyFill="1" applyBorder="1" applyAlignment="1">
      <alignment horizontal="right" vertical="center"/>
    </xf>
    <xf numFmtId="186" fontId="117" fillId="2" borderId="1" xfId="0" applyNumberFormat="1" applyFont="1" applyFill="1" applyBorder="1" applyAlignment="1">
      <alignment horizontal="right" vertical="center"/>
    </xf>
    <xf numFmtId="4" fontId="117" fillId="2" borderId="8" xfId="0" applyNumberFormat="1" applyFont="1" applyFill="1" applyBorder="1" applyAlignment="1">
      <alignment horizontal="right" vertical="center"/>
    </xf>
    <xf numFmtId="186" fontId="117" fillId="2" borderId="8" xfId="0" applyNumberFormat="1" applyFont="1" applyFill="1" applyBorder="1" applyAlignment="1">
      <alignment horizontal="right" vertical="center"/>
    </xf>
    <xf numFmtId="3" fontId="117" fillId="8" borderId="1" xfId="0" applyNumberFormat="1" applyFont="1" applyFill="1" applyBorder="1" applyAlignment="1">
      <alignment horizontal="right" vertical="center"/>
    </xf>
    <xf numFmtId="4" fontId="99" fillId="8" borderId="1" xfId="0" applyNumberFormat="1" applyFont="1" applyFill="1" applyBorder="1" applyAlignment="1">
      <alignment horizontal="right" vertical="center" wrapText="1"/>
    </xf>
    <xf numFmtId="0" fontId="8" fillId="8" borderId="5" xfId="0" applyFont="1" applyFill="1" applyBorder="1" applyAlignment="1">
      <alignment horizontal="center" vertical="top" wrapText="1"/>
    </xf>
    <xf numFmtId="2" fontId="20" fillId="0" borderId="0" xfId="0" applyNumberFormat="1" applyFont="1"/>
    <xf numFmtId="4" fontId="153" fillId="16" borderId="0" xfId="0" applyNumberFormat="1" applyFont="1" applyFill="1"/>
    <xf numFmtId="4" fontId="153" fillId="0" borderId="0" xfId="0" applyNumberFormat="1" applyFont="1"/>
    <xf numFmtId="4" fontId="15" fillId="0" borderId="9" xfId="0" applyNumberFormat="1" applyFont="1" applyFill="1" applyBorder="1" applyAlignment="1"/>
    <xf numFmtId="1" fontId="15" fillId="13" borderId="13" xfId="0" applyNumberFormat="1" applyFont="1" applyFill="1" applyBorder="1" applyAlignment="1">
      <alignment horizontal="center" vertical="center" wrapText="1"/>
    </xf>
    <xf numFmtId="0" fontId="15" fillId="8" borderId="1" xfId="1" applyFont="1" applyFill="1" applyBorder="1" applyAlignment="1">
      <alignment horizontal="left" vertical="center"/>
    </xf>
    <xf numFmtId="3" fontId="15" fillId="13" borderId="6" xfId="0" applyNumberFormat="1" applyFont="1" applyFill="1" applyBorder="1" applyAlignment="1">
      <alignment vertical="center" wrapText="1"/>
    </xf>
    <xf numFmtId="1" fontId="9" fillId="13" borderId="1" xfId="0" applyNumberFormat="1" applyFont="1" applyFill="1" applyBorder="1" applyAlignment="1">
      <alignment horizontal="center" vertical="top" wrapText="1"/>
    </xf>
    <xf numFmtId="1" fontId="97" fillId="13" borderId="1" xfId="0" applyNumberFormat="1" applyFont="1" applyFill="1" applyBorder="1" applyAlignment="1">
      <alignment horizontal="center" vertical="top" wrapText="1"/>
    </xf>
    <xf numFmtId="4" fontId="0" fillId="0" borderId="1" xfId="0" applyNumberFormat="1" applyFont="1" applyBorder="1"/>
    <xf numFmtId="4" fontId="154" fillId="0" borderId="0" xfId="0" applyNumberFormat="1" applyFont="1"/>
    <xf numFmtId="0" fontId="154" fillId="0" borderId="0" xfId="0" applyFont="1"/>
    <xf numFmtId="3" fontId="98" fillId="0" borderId="0" xfId="0" applyNumberFormat="1" applyFont="1" applyFill="1"/>
    <xf numFmtId="0" fontId="137" fillId="0" borderId="0" xfId="0" applyFont="1" applyFill="1" applyAlignment="1">
      <alignment horizontal="center" wrapText="1"/>
    </xf>
    <xf numFmtId="0" fontId="117" fillId="0" borderId="0" xfId="0" applyFont="1" applyAlignment="1">
      <alignment horizontal="centerContinuous" wrapText="1"/>
    </xf>
    <xf numFmtId="0" fontId="104" fillId="8" borderId="0" xfId="0" applyFont="1" applyFill="1" applyAlignment="1">
      <alignment horizontal="centerContinuous"/>
    </xf>
    <xf numFmtId="0" fontId="137" fillId="0" borderId="0" xfId="0" applyFont="1" applyAlignment="1">
      <alignment horizontal="center" wrapText="1"/>
    </xf>
    <xf numFmtId="0" fontId="117" fillId="0" borderId="1" xfId="0" applyFont="1" applyBorder="1" applyAlignment="1">
      <alignment horizontal="center" vertical="top" wrapText="1"/>
    </xf>
    <xf numFmtId="0" fontId="117" fillId="0" borderId="12" xfId="0" applyFont="1" applyFill="1" applyBorder="1" applyAlignment="1">
      <alignment horizontal="left" vertical="center" wrapText="1"/>
    </xf>
    <xf numFmtId="0" fontId="117" fillId="0" borderId="4" xfId="0" applyFont="1" applyFill="1" applyBorder="1" applyAlignment="1">
      <alignment horizontal="left" vertical="center" wrapText="1"/>
    </xf>
    <xf numFmtId="0" fontId="99" fillId="8" borderId="0" xfId="0" applyFont="1" applyFill="1" applyBorder="1" applyAlignment="1">
      <alignment wrapText="1"/>
    </xf>
    <xf numFmtId="0" fontId="117" fillId="8" borderId="0" xfId="0" applyFont="1" applyFill="1" applyAlignment="1">
      <alignment horizontal="centerContinuous"/>
    </xf>
    <xf numFmtId="0" fontId="116" fillId="0" borderId="0" xfId="0" applyFont="1"/>
    <xf numFmtId="0" fontId="125" fillId="0" borderId="0" xfId="0" applyFont="1"/>
    <xf numFmtId="0" fontId="117" fillId="8" borderId="0" xfId="0" applyFont="1" applyFill="1" applyAlignment="1">
      <alignment horizontal="left"/>
    </xf>
    <xf numFmtId="0" fontId="117" fillId="8" borderId="0" xfId="0" applyFont="1" applyFill="1" applyBorder="1" applyAlignment="1">
      <alignment horizontal="left" vertical="center" wrapText="1"/>
    </xf>
    <xf numFmtId="0" fontId="99" fillId="0" borderId="0" xfId="0" applyFont="1" applyAlignment="1">
      <alignment horizontal="center" wrapText="1"/>
    </xf>
    <xf numFmtId="0" fontId="99" fillId="0" borderId="0" xfId="0" applyFont="1" applyFill="1" applyAlignment="1">
      <alignment horizontal="center" wrapText="1"/>
    </xf>
    <xf numFmtId="0" fontId="99" fillId="8" borderId="0" xfId="0" applyFont="1" applyFill="1" applyBorder="1" applyAlignment="1">
      <alignment horizontal="center"/>
    </xf>
    <xf numFmtId="0" fontId="117" fillId="0" borderId="0" xfId="5" applyFont="1" applyFill="1" applyAlignment="1">
      <alignment horizontal="right"/>
    </xf>
    <xf numFmtId="0" fontId="117" fillId="0" borderId="1" xfId="0" applyFont="1" applyFill="1" applyBorder="1" applyAlignment="1">
      <alignment vertical="center" wrapText="1"/>
    </xf>
    <xf numFmtId="4" fontId="117" fillId="0" borderId="1" xfId="9" applyNumberFormat="1" applyFont="1" applyFill="1" applyBorder="1" applyAlignment="1">
      <alignment vertical="center" wrapText="1"/>
    </xf>
    <xf numFmtId="4" fontId="117" fillId="8" borderId="1" xfId="0" applyNumberFormat="1" applyFont="1" applyFill="1" applyBorder="1" applyAlignment="1">
      <alignment vertical="center" wrapText="1"/>
    </xf>
    <xf numFmtId="4" fontId="117" fillId="0" borderId="1" xfId="0" applyNumberFormat="1" applyFont="1" applyFill="1" applyBorder="1" applyAlignment="1">
      <alignment vertical="center" wrapText="1"/>
    </xf>
    <xf numFmtId="0" fontId="117" fillId="0" borderId="4" xfId="0" applyFont="1" applyFill="1" applyBorder="1" applyAlignment="1">
      <alignment vertical="center" wrapText="1"/>
    </xf>
    <xf numFmtId="4" fontId="117" fillId="8" borderId="1" xfId="0" applyNumberFormat="1" applyFont="1" applyFill="1" applyBorder="1" applyAlignment="1">
      <alignment vertical="top" wrapText="1"/>
    </xf>
    <xf numFmtId="4" fontId="117" fillId="0" borderId="1" xfId="0" applyNumberFormat="1" applyFont="1" applyFill="1" applyBorder="1" applyAlignment="1">
      <alignment vertical="top" wrapText="1"/>
    </xf>
    <xf numFmtId="0" fontId="117" fillId="8" borderId="1" xfId="1" applyFont="1" applyFill="1" applyBorder="1" applyAlignment="1">
      <alignment vertical="center" wrapText="1"/>
    </xf>
    <xf numFmtId="3" fontId="99" fillId="0" borderId="0" xfId="0" applyNumberFormat="1" applyFont="1" applyFill="1" applyBorder="1" applyAlignment="1">
      <alignment horizontal="center" wrapText="1"/>
    </xf>
    <xf numFmtId="0" fontId="99" fillId="8" borderId="0" xfId="0" applyFont="1" applyFill="1"/>
    <xf numFmtId="4" fontId="117" fillId="0" borderId="1" xfId="9" applyNumberFormat="1" applyFont="1" applyFill="1" applyBorder="1" applyAlignment="1">
      <alignment horizontal="right" vertical="top" wrapText="1"/>
    </xf>
    <xf numFmtId="0" fontId="117" fillId="0" borderId="1" xfId="9" applyFont="1" applyFill="1" applyBorder="1" applyAlignment="1">
      <alignment horizontal="left" vertical="center" wrapText="1"/>
    </xf>
    <xf numFmtId="184" fontId="117" fillId="0" borderId="1" xfId="9" applyNumberFormat="1" applyFont="1" applyFill="1" applyBorder="1" applyAlignment="1">
      <alignment horizontal="right" vertical="center" wrapText="1"/>
    </xf>
    <xf numFmtId="186" fontId="117" fillId="0" borderId="1" xfId="0" applyNumberFormat="1" applyFont="1" applyFill="1" applyBorder="1" applyAlignment="1">
      <alignment horizontal="right" vertical="center"/>
    </xf>
    <xf numFmtId="4" fontId="117" fillId="0" borderId="2" xfId="0" applyNumberFormat="1" applyFont="1" applyFill="1" applyBorder="1" applyAlignment="1">
      <alignment horizontal="right" vertical="top" wrapText="1"/>
    </xf>
    <xf numFmtId="186" fontId="117" fillId="8" borderId="1" xfId="9" applyNumberFormat="1" applyFont="1" applyFill="1" applyBorder="1" applyAlignment="1">
      <alignment horizontal="right" vertical="center" wrapText="1"/>
    </xf>
    <xf numFmtId="0" fontId="117" fillId="0" borderId="5" xfId="9" applyFont="1" applyFill="1" applyBorder="1" applyAlignment="1">
      <alignment horizontal="left" vertical="center" wrapText="1"/>
    </xf>
    <xf numFmtId="4" fontId="103" fillId="0" borderId="1" xfId="0" applyNumberFormat="1" applyFont="1" applyBorder="1" applyAlignment="1">
      <alignment horizontal="right" vertical="center"/>
    </xf>
    <xf numFmtId="0" fontId="117" fillId="0" borderId="1" xfId="0" applyFont="1" applyBorder="1" applyAlignment="1">
      <alignment horizontal="left" wrapText="1"/>
    </xf>
    <xf numFmtId="186" fontId="117" fillId="0" borderId="1" xfId="9" applyNumberFormat="1" applyFont="1" applyFill="1" applyBorder="1" applyAlignment="1">
      <alignment horizontal="right" vertical="center" wrapText="1"/>
    </xf>
    <xf numFmtId="186" fontId="117" fillId="0" borderId="1" xfId="0" applyNumberFormat="1" applyFont="1" applyFill="1" applyBorder="1" applyAlignment="1">
      <alignment horizontal="left" vertical="center" wrapText="1"/>
    </xf>
    <xf numFmtId="4" fontId="117" fillId="8" borderId="2" xfId="0" applyNumberFormat="1" applyFont="1" applyFill="1" applyBorder="1" applyAlignment="1">
      <alignment horizontal="right" vertical="top" wrapText="1"/>
    </xf>
    <xf numFmtId="4" fontId="117" fillId="0" borderId="2" xfId="9" applyNumberFormat="1" applyFont="1" applyFill="1" applyBorder="1" applyAlignment="1">
      <alignment horizontal="right" vertical="top" wrapText="1"/>
    </xf>
    <xf numFmtId="4" fontId="117" fillId="8" borderId="1" xfId="9" applyNumberFormat="1" applyFont="1" applyFill="1" applyBorder="1" applyAlignment="1">
      <alignment horizontal="right" vertical="top" wrapText="1"/>
    </xf>
    <xf numFmtId="186" fontId="117" fillId="0" borderId="5" xfId="0" applyNumberFormat="1" applyFont="1" applyFill="1" applyBorder="1" applyAlignment="1">
      <alignment horizontal="right" vertical="center" wrapText="1"/>
    </xf>
    <xf numFmtId="3" fontId="117" fillId="0" borderId="5" xfId="9" applyNumberFormat="1" applyFont="1" applyFill="1" applyBorder="1" applyAlignment="1">
      <alignment horizontal="right" vertical="center" wrapText="1"/>
    </xf>
    <xf numFmtId="183" fontId="117" fillId="8" borderId="1" xfId="0" applyNumberFormat="1" applyFont="1" applyFill="1" applyBorder="1" applyAlignment="1">
      <alignment horizontal="right" vertical="center"/>
    </xf>
    <xf numFmtId="3" fontId="117" fillId="0" borderId="2" xfId="9" applyNumberFormat="1" applyFont="1" applyFill="1" applyBorder="1" applyAlignment="1">
      <alignment horizontal="right" vertical="center" wrapText="1"/>
    </xf>
    <xf numFmtId="184" fontId="117" fillId="0" borderId="5" xfId="9" applyNumberFormat="1" applyFont="1" applyFill="1" applyBorder="1" applyAlignment="1">
      <alignment horizontal="right" vertical="center" wrapText="1"/>
    </xf>
    <xf numFmtId="4" fontId="117" fillId="0" borderId="1" xfId="0" applyNumberFormat="1" applyFont="1" applyFill="1" applyBorder="1" applyAlignment="1">
      <alignment wrapText="1"/>
    </xf>
    <xf numFmtId="3" fontId="117" fillId="8" borderId="1" xfId="0" applyNumberFormat="1" applyFont="1" applyFill="1" applyBorder="1" applyAlignment="1">
      <alignment horizontal="left" vertical="center" wrapText="1"/>
    </xf>
    <xf numFmtId="0" fontId="107" fillId="0" borderId="1" xfId="0" applyFont="1" applyFill="1" applyBorder="1" applyAlignment="1">
      <alignment horizontal="left" vertical="center" wrapText="1"/>
    </xf>
    <xf numFmtId="0" fontId="117" fillId="0" borderId="1" xfId="9" applyFont="1" applyFill="1" applyBorder="1" applyAlignment="1">
      <alignment vertical="center" wrapText="1"/>
    </xf>
    <xf numFmtId="186" fontId="117" fillId="0" borderId="5" xfId="9" applyNumberFormat="1" applyFont="1" applyFill="1" applyBorder="1" applyAlignment="1">
      <alignment horizontal="right" vertical="center" wrapText="1"/>
    </xf>
    <xf numFmtId="186" fontId="117" fillId="8" borderId="1" xfId="9" applyNumberFormat="1" applyFont="1" applyFill="1" applyBorder="1" applyAlignment="1">
      <alignment horizontal="center" vertical="center" wrapText="1"/>
    </xf>
    <xf numFmtId="4" fontId="152" fillId="0" borderId="1" xfId="0" applyNumberFormat="1" applyFont="1" applyFill="1" applyBorder="1" applyAlignment="1">
      <alignment horizontal="right" vertical="center" wrapText="1"/>
    </xf>
    <xf numFmtId="3" fontId="152" fillId="0" borderId="1" xfId="0" applyNumberFormat="1" applyFont="1" applyFill="1" applyBorder="1" applyAlignment="1">
      <alignment horizontal="right" wrapText="1"/>
    </xf>
    <xf numFmtId="183" fontId="117" fillId="0" borderId="1" xfId="0" applyNumberFormat="1" applyFont="1" applyFill="1" applyBorder="1" applyAlignment="1">
      <alignment horizontal="right" vertical="center"/>
    </xf>
    <xf numFmtId="0" fontId="117" fillId="0" borderId="9" xfId="9" applyFont="1" applyFill="1" applyBorder="1" applyAlignment="1">
      <alignment horizontal="left" vertical="center" wrapText="1"/>
    </xf>
    <xf numFmtId="0" fontId="117" fillId="0" borderId="2" xfId="9" applyFont="1" applyFill="1" applyBorder="1" applyAlignment="1">
      <alignment wrapText="1"/>
    </xf>
    <xf numFmtId="184" fontId="117" fillId="0" borderId="5" xfId="0" applyNumberFormat="1" applyFont="1" applyFill="1" applyBorder="1" applyAlignment="1">
      <alignment horizontal="right" vertical="center" wrapText="1"/>
    </xf>
    <xf numFmtId="186" fontId="117" fillId="0" borderId="1" xfId="0" applyNumberFormat="1" applyFont="1" applyFill="1" applyBorder="1" applyAlignment="1">
      <alignment horizontal="right" vertical="center" wrapText="1"/>
    </xf>
    <xf numFmtId="0" fontId="117" fillId="8" borderId="5" xfId="9" applyFont="1" applyFill="1" applyBorder="1" applyAlignment="1">
      <alignment horizontal="left" vertical="center" wrapText="1"/>
    </xf>
    <xf numFmtId="0" fontId="117" fillId="0" borderId="1" xfId="0" applyFont="1" applyBorder="1" applyAlignment="1">
      <alignment horizontal="justify" vertical="center"/>
    </xf>
    <xf numFmtId="0" fontId="151" fillId="0" borderId="0" xfId="0" applyFont="1" applyFill="1" applyAlignment="1">
      <alignment horizontal="center" vertical="center" wrapText="1"/>
    </xf>
    <xf numFmtId="0" fontId="151" fillId="0" borderId="0" xfId="0" applyFont="1" applyFill="1" applyAlignment="1">
      <alignment horizontal="left" vertical="center" wrapText="1"/>
    </xf>
    <xf numFmtId="0" fontId="117" fillId="0" borderId="0" xfId="5" applyFont="1" applyFill="1" applyBorder="1"/>
    <xf numFmtId="0" fontId="15" fillId="0" borderId="1" xfId="5" applyFont="1" applyBorder="1" applyAlignment="1">
      <alignment horizontal="center" vertical="top" wrapText="1"/>
    </xf>
    <xf numFmtId="0" fontId="10" fillId="0" borderId="0" xfId="5" applyFont="1" applyAlignment="1">
      <alignment horizontal="center"/>
    </xf>
    <xf numFmtId="0" fontId="15" fillId="0" borderId="5" xfId="5" applyFont="1" applyBorder="1" applyAlignment="1">
      <alignment horizontal="center" vertical="top"/>
    </xf>
    <xf numFmtId="0" fontId="15" fillId="0" borderId="2" xfId="5" applyFont="1" applyBorder="1" applyAlignment="1">
      <alignment horizontal="center" vertical="top"/>
    </xf>
    <xf numFmtId="0" fontId="10" fillId="0" borderId="0" xfId="0" applyFont="1" applyAlignment="1">
      <alignment horizontal="center" wrapText="1"/>
    </xf>
    <xf numFmtId="0" fontId="10" fillId="0" borderId="0" xfId="0" applyFont="1" applyFill="1" applyAlignment="1">
      <alignment horizontal="center" wrapText="1"/>
    </xf>
    <xf numFmtId="3" fontId="8" fillId="8" borderId="5" xfId="1" applyNumberFormat="1" applyFont="1" applyFill="1" applyBorder="1" applyAlignment="1">
      <alignment horizontal="center" vertical="center" wrapText="1"/>
    </xf>
    <xf numFmtId="3" fontId="8" fillId="8" borderId="8" xfId="1" applyNumberFormat="1" applyFont="1" applyFill="1" applyBorder="1" applyAlignment="1">
      <alignment horizontal="center" vertical="center" wrapText="1"/>
    </xf>
    <xf numFmtId="0" fontId="8" fillId="8" borderId="8" xfId="1" applyFont="1" applyFill="1" applyBorder="1" applyAlignment="1">
      <alignment horizontal="center" vertical="center" wrapText="1"/>
    </xf>
    <xf numFmtId="3" fontId="13" fillId="8" borderId="2" xfId="1" applyNumberFormat="1" applyFont="1" applyFill="1" applyBorder="1" applyAlignment="1">
      <alignment horizontal="center" vertical="center" wrapText="1"/>
    </xf>
    <xf numFmtId="0" fontId="8" fillId="8" borderId="5"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137" fillId="0" borderId="0" xfId="0" applyFont="1" applyAlignment="1">
      <alignment horizontal="center" wrapText="1"/>
    </xf>
    <xf numFmtId="0" fontId="137" fillId="0" borderId="0" xfId="0" applyFont="1" applyFill="1" applyAlignment="1">
      <alignment horizontal="center" wrapText="1"/>
    </xf>
    <xf numFmtId="0" fontId="8" fillId="8" borderId="2" xfId="1" applyFont="1" applyFill="1" applyBorder="1" applyAlignment="1">
      <alignment horizontal="center" vertical="center" wrapText="1"/>
    </xf>
    <xf numFmtId="0" fontId="117" fillId="8" borderId="5" xfId="1" applyFont="1" applyFill="1" applyBorder="1" applyAlignment="1">
      <alignment horizontal="center" vertical="center" wrapText="1"/>
    </xf>
    <xf numFmtId="0" fontId="117" fillId="8" borderId="2" xfId="1" applyFont="1" applyFill="1" applyBorder="1" applyAlignment="1">
      <alignment horizontal="center" vertical="center" wrapText="1"/>
    </xf>
    <xf numFmtId="0" fontId="117" fillId="8" borderId="8" xfId="1" applyFont="1" applyFill="1" applyBorder="1" applyAlignment="1">
      <alignment horizontal="center" vertical="center" wrapText="1"/>
    </xf>
    <xf numFmtId="0" fontId="99" fillId="0" borderId="0" xfId="0" applyFont="1" applyAlignment="1">
      <alignment horizontal="center" wrapText="1"/>
    </xf>
    <xf numFmtId="0" fontId="99" fillId="0" borderId="0" xfId="0" applyFont="1" applyFill="1" applyAlignment="1">
      <alignment horizontal="center" wrapText="1"/>
    </xf>
    <xf numFmtId="0" fontId="57" fillId="0" borderId="3" xfId="0" applyFont="1" applyBorder="1" applyAlignment="1">
      <alignment horizontal="center" vertical="top" wrapText="1"/>
    </xf>
    <xf numFmtId="0" fontId="57" fillId="0" borderId="4" xfId="0" applyFont="1" applyBorder="1" applyAlignment="1">
      <alignment horizontal="center" vertical="top" wrapText="1"/>
    </xf>
    <xf numFmtId="0" fontId="7" fillId="0" borderId="0" xfId="0" applyFont="1" applyAlignment="1">
      <alignment horizontal="center"/>
    </xf>
    <xf numFmtId="0" fontId="8" fillId="0" borderId="5" xfId="0" applyFont="1" applyBorder="1" applyAlignment="1">
      <alignment horizontal="center" vertical="top" wrapText="1"/>
    </xf>
    <xf numFmtId="0" fontId="8" fillId="0" borderId="2" xfId="0" applyFont="1" applyBorder="1" applyAlignment="1">
      <alignment horizontal="center" vertical="top" wrapText="1"/>
    </xf>
    <xf numFmtId="0" fontId="57" fillId="0" borderId="5" xfId="0" applyFont="1" applyBorder="1" applyAlignment="1">
      <alignment horizontal="center" vertical="top" wrapText="1"/>
    </xf>
    <xf numFmtId="0" fontId="57" fillId="0" borderId="2" xfId="0" applyFont="1" applyBorder="1" applyAlignment="1">
      <alignment horizontal="center" vertical="top" wrapText="1"/>
    </xf>
    <xf numFmtId="0" fontId="20" fillId="0" borderId="5" xfId="0" applyFont="1" applyBorder="1" applyAlignment="1">
      <alignment horizontal="center" vertical="top"/>
    </xf>
    <xf numFmtId="0" fontId="20" fillId="0" borderId="2" xfId="0" applyFont="1" applyBorder="1" applyAlignment="1">
      <alignment horizontal="center" vertical="top"/>
    </xf>
    <xf numFmtId="49" fontId="76" fillId="0" borderId="0" xfId="5" applyNumberFormat="1" applyFont="1" applyAlignment="1">
      <alignment horizontal="center"/>
    </xf>
    <xf numFmtId="0" fontId="8" fillId="0" borderId="0" xfId="5" applyFont="1" applyBorder="1" applyAlignment="1">
      <alignment horizontal="center"/>
    </xf>
    <xf numFmtId="0" fontId="7" fillId="0" borderId="0" xfId="0" applyFont="1" applyFill="1" applyAlignment="1">
      <alignment horizontal="center" wrapText="1"/>
    </xf>
    <xf numFmtId="0" fontId="107" fillId="0" borderId="0" xfId="0" applyFont="1" applyFill="1" applyBorder="1" applyAlignment="1">
      <alignment horizontal="center" vertical="top" wrapText="1"/>
    </xf>
    <xf numFmtId="0" fontId="107" fillId="0" borderId="11" xfId="0" applyFont="1" applyFill="1" applyBorder="1" applyAlignment="1">
      <alignment horizontal="center" vertical="top" wrapText="1"/>
    </xf>
    <xf numFmtId="0" fontId="102" fillId="0" borderId="1" xfId="0" applyFont="1" applyFill="1" applyBorder="1" applyAlignment="1">
      <alignment horizontal="center" vertical="top"/>
    </xf>
    <xf numFmtId="0" fontId="104" fillId="0" borderId="1" xfId="0" applyFont="1" applyFill="1" applyBorder="1" applyAlignment="1">
      <alignment horizontal="center" vertical="top" wrapText="1"/>
    </xf>
    <xf numFmtId="0" fontId="129" fillId="0" borderId="1" xfId="0" applyFont="1" applyFill="1" applyBorder="1" applyAlignment="1">
      <alignment horizontal="center" vertical="top" wrapText="1"/>
    </xf>
    <xf numFmtId="0" fontId="104" fillId="0" borderId="3" xfId="0" applyFont="1" applyFill="1" applyBorder="1" applyAlignment="1">
      <alignment horizontal="center" vertical="top" wrapText="1"/>
    </xf>
    <xf numFmtId="49" fontId="107" fillId="0" borderId="5" xfId="0" applyNumberFormat="1" applyFont="1" applyFill="1" applyBorder="1" applyAlignment="1">
      <alignment horizontal="center" vertical="top" wrapText="1"/>
    </xf>
    <xf numFmtId="49" fontId="107" fillId="0" borderId="8" xfId="0" applyNumberFormat="1" applyFont="1" applyFill="1" applyBorder="1" applyAlignment="1">
      <alignment horizontal="center" vertical="top" wrapText="1"/>
    </xf>
    <xf numFmtId="49" fontId="107" fillId="0" borderId="2" xfId="0" applyNumberFormat="1" applyFont="1" applyFill="1" applyBorder="1" applyAlignment="1">
      <alignment horizontal="center" vertical="top" wrapText="1"/>
    </xf>
    <xf numFmtId="0" fontId="107" fillId="0" borderId="5" xfId="0" applyFont="1" applyFill="1" applyBorder="1" applyAlignment="1">
      <alignment horizontal="center" vertical="top" wrapText="1"/>
    </xf>
    <xf numFmtId="0" fontId="107" fillId="0" borderId="8" xfId="0" applyFont="1" applyFill="1" applyBorder="1" applyAlignment="1">
      <alignment horizontal="center" vertical="top" wrapText="1"/>
    </xf>
    <xf numFmtId="0" fontId="107" fillId="0" borderId="2" xfId="0" applyFont="1" applyFill="1" applyBorder="1" applyAlignment="1">
      <alignment horizontal="center" vertical="top" wrapText="1"/>
    </xf>
    <xf numFmtId="0" fontId="117" fillId="0" borderId="0" xfId="0" applyFont="1" applyAlignment="1">
      <alignment horizontal="left"/>
    </xf>
    <xf numFmtId="0" fontId="117" fillId="3" borderId="0" xfId="0" applyFont="1" applyFill="1" applyAlignment="1">
      <alignment horizontal="left"/>
    </xf>
    <xf numFmtId="0" fontId="102" fillId="0" borderId="1" xfId="0" applyFont="1" applyFill="1" applyBorder="1" applyAlignment="1">
      <alignment horizontal="center" vertical="top" wrapText="1"/>
    </xf>
    <xf numFmtId="0" fontId="102" fillId="0" borderId="4" xfId="0" applyFont="1" applyFill="1" applyBorder="1" applyAlignment="1">
      <alignment horizontal="center" vertical="top" wrapText="1"/>
    </xf>
    <xf numFmtId="0" fontId="104" fillId="0" borderId="2" xfId="0" applyFont="1" applyFill="1" applyBorder="1" applyAlignment="1">
      <alignment horizontal="center" vertical="top" wrapText="1"/>
    </xf>
    <xf numFmtId="0" fontId="102" fillId="0" borderId="5" xfId="0" applyFont="1" applyFill="1" applyBorder="1" applyAlignment="1">
      <alignment horizontal="center" vertical="top"/>
    </xf>
    <xf numFmtId="0" fontId="102" fillId="0" borderId="13" xfId="0" applyFont="1" applyFill="1" applyBorder="1" applyAlignment="1">
      <alignment horizontal="center" vertical="top"/>
    </xf>
    <xf numFmtId="0" fontId="122" fillId="0" borderId="0" xfId="0" applyFont="1" applyFill="1" applyAlignment="1">
      <alignment horizontal="center" wrapText="1"/>
    </xf>
    <xf numFmtId="0" fontId="8" fillId="0" borderId="11" xfId="5" applyFont="1" applyBorder="1" applyAlignment="1">
      <alignment horizontal="center"/>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wrapText="1"/>
    </xf>
    <xf numFmtId="0" fontId="19" fillId="0" borderId="8" xfId="0" applyFont="1" applyBorder="1" applyAlignment="1">
      <alignment horizontal="center" vertical="top" wrapText="1"/>
    </xf>
    <xf numFmtId="0" fontId="19" fillId="0" borderId="2" xfId="0" applyFont="1" applyBorder="1" applyAlignment="1">
      <alignment horizontal="center" vertical="top" wrapText="1"/>
    </xf>
    <xf numFmtId="0" fontId="8" fillId="0" borderId="0" xfId="0" applyFont="1" applyAlignment="1">
      <alignment horizontal="left"/>
    </xf>
    <xf numFmtId="0" fontId="7" fillId="0" borderId="0" xfId="0" applyFont="1" applyAlignment="1">
      <alignment horizontal="center" wrapText="1"/>
    </xf>
    <xf numFmtId="0" fontId="19" fillId="0" borderId="3" xfId="0" applyFont="1" applyBorder="1" applyAlignment="1">
      <alignment horizontal="center" vertical="top"/>
    </xf>
    <xf numFmtId="0" fontId="19" fillId="0" borderId="9" xfId="0" applyFont="1" applyBorder="1" applyAlignment="1">
      <alignment horizontal="center" vertical="top"/>
    </xf>
    <xf numFmtId="0" fontId="19" fillId="0" borderId="4" xfId="0" applyFont="1" applyBorder="1" applyAlignment="1">
      <alignment horizontal="center" vertical="top"/>
    </xf>
    <xf numFmtId="0" fontId="19" fillId="0" borderId="1" xfId="0" applyFont="1" applyBorder="1" applyAlignment="1">
      <alignment horizontal="center" vertical="top" wrapText="1"/>
    </xf>
    <xf numFmtId="0" fontId="15" fillId="0" borderId="5"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2" xfId="0" applyFont="1" applyFill="1" applyBorder="1" applyAlignment="1">
      <alignment horizontal="center" vertical="top" wrapText="1"/>
    </xf>
    <xf numFmtId="0" fontId="19" fillId="0" borderId="1" xfId="0" applyFont="1" applyBorder="1" applyAlignment="1">
      <alignment horizontal="center" vertical="top"/>
    </xf>
    <xf numFmtId="0" fontId="13" fillId="0" borderId="0" xfId="0" applyFont="1" applyFill="1" applyBorder="1" applyAlignment="1">
      <alignment horizontal="center" vertical="center" wrapText="1"/>
    </xf>
    <xf numFmtId="4" fontId="15" fillId="0" borderId="0" xfId="0" applyNumberFormat="1" applyFont="1" applyFill="1" applyBorder="1" applyAlignment="1"/>
    <xf numFmtId="3" fontId="15" fillId="0" borderId="0" xfId="0" applyNumberFormat="1" applyFont="1" applyFill="1" applyBorder="1" applyAlignment="1">
      <alignment horizontal="center"/>
    </xf>
    <xf numFmtId="3" fontId="15" fillId="0" borderId="3" xfId="0" applyNumberFormat="1" applyFont="1" applyFill="1" applyBorder="1" applyAlignment="1">
      <alignment horizontal="right"/>
    </xf>
    <xf numFmtId="3" fontId="15" fillId="0" borderId="9" xfId="0" applyNumberFormat="1" applyFont="1" applyFill="1" applyBorder="1" applyAlignment="1">
      <alignment horizontal="right"/>
    </xf>
    <xf numFmtId="1" fontId="15" fillId="13" borderId="9" xfId="0" applyNumberFormat="1" applyFont="1" applyFill="1" applyBorder="1" applyAlignment="1">
      <alignment horizontal="center" wrapText="1"/>
    </xf>
    <xf numFmtId="1" fontId="15" fillId="13" borderId="6" xfId="0" applyNumberFormat="1" applyFont="1" applyFill="1" applyBorder="1" applyAlignment="1">
      <alignment horizontal="center" vertical="center" wrapText="1"/>
    </xf>
    <xf numFmtId="1" fontId="15" fillId="13" borderId="15" xfId="0" applyNumberFormat="1" applyFont="1" applyFill="1" applyBorder="1" applyAlignment="1">
      <alignment horizontal="center" vertical="center" wrapText="1"/>
    </xf>
    <xf numFmtId="1" fontId="15" fillId="13" borderId="10" xfId="0" applyNumberFormat="1" applyFont="1" applyFill="1" applyBorder="1" applyAlignment="1">
      <alignment horizontal="center" vertical="center" wrapText="1"/>
    </xf>
    <xf numFmtId="3" fontId="15" fillId="0" borderId="6" xfId="0" applyNumberFormat="1" applyFont="1" applyFill="1" applyBorder="1" applyAlignment="1">
      <alignment horizontal="right"/>
    </xf>
    <xf numFmtId="3" fontId="15" fillId="0" borderId="13" xfId="0" applyNumberFormat="1" applyFont="1" applyFill="1" applyBorder="1" applyAlignment="1">
      <alignment horizontal="right"/>
    </xf>
    <xf numFmtId="0" fontId="13" fillId="13" borderId="5" xfId="1" applyFont="1" applyFill="1" applyBorder="1" applyAlignment="1">
      <alignment horizontal="center" vertical="center" wrapText="1"/>
    </xf>
    <xf numFmtId="0" fontId="13" fillId="13" borderId="8" xfId="1" applyFont="1" applyFill="1" applyBorder="1" applyAlignment="1">
      <alignment horizontal="center" vertical="center" wrapText="1"/>
    </xf>
    <xf numFmtId="0" fontId="13" fillId="13" borderId="2" xfId="1" applyFont="1" applyFill="1" applyBorder="1" applyAlignment="1">
      <alignment horizontal="center" vertical="center" wrapText="1"/>
    </xf>
    <xf numFmtId="49" fontId="13" fillId="13" borderId="5" xfId="1" applyNumberFormat="1" applyFont="1" applyFill="1" applyBorder="1" applyAlignment="1">
      <alignment horizontal="center" vertical="center" wrapText="1"/>
    </xf>
    <xf numFmtId="49" fontId="13" fillId="13" borderId="8" xfId="1" applyNumberFormat="1" applyFont="1" applyFill="1" applyBorder="1" applyAlignment="1">
      <alignment horizontal="center" vertical="center" wrapText="1"/>
    </xf>
    <xf numFmtId="49" fontId="13" fillId="13" borderId="2" xfId="1" applyNumberFormat="1" applyFont="1" applyFill="1" applyBorder="1" applyAlignment="1">
      <alignment horizontal="center" vertical="center" wrapText="1"/>
    </xf>
    <xf numFmtId="1" fontId="15" fillId="13" borderId="5" xfId="0" applyNumberFormat="1" applyFont="1" applyFill="1" applyBorder="1" applyAlignment="1">
      <alignment horizontal="center" vertical="center" wrapText="1"/>
    </xf>
    <xf numFmtId="1" fontId="15" fillId="13" borderId="8" xfId="0" applyNumberFormat="1" applyFont="1" applyFill="1" applyBorder="1" applyAlignment="1">
      <alignment horizontal="center" vertical="center" wrapText="1"/>
    </xf>
    <xf numFmtId="1" fontId="15" fillId="13" borderId="2" xfId="0" applyNumberFormat="1" applyFont="1" applyFill="1" applyBorder="1" applyAlignment="1">
      <alignment horizontal="center" vertical="center" wrapText="1"/>
    </xf>
    <xf numFmtId="3" fontId="13" fillId="13" borderId="5" xfId="1" applyNumberFormat="1" applyFont="1" applyFill="1" applyBorder="1" applyAlignment="1">
      <alignment horizontal="left" vertical="center" wrapText="1"/>
    </xf>
    <xf numFmtId="3" fontId="13" fillId="13" borderId="8" xfId="1" applyNumberFormat="1" applyFont="1" applyFill="1" applyBorder="1" applyAlignment="1">
      <alignment horizontal="left" vertical="center" wrapText="1"/>
    </xf>
    <xf numFmtId="4" fontId="13" fillId="13" borderId="5" xfId="1" applyNumberFormat="1" applyFont="1" applyFill="1" applyBorder="1" applyAlignment="1">
      <alignment horizontal="right" vertical="center" wrapText="1"/>
    </xf>
    <xf numFmtId="4" fontId="13" fillId="13" borderId="8" xfId="1" applyNumberFormat="1" applyFont="1" applyFill="1" applyBorder="1" applyAlignment="1">
      <alignment horizontal="right" vertical="center" wrapText="1"/>
    </xf>
    <xf numFmtId="0" fontId="8" fillId="13" borderId="9" xfId="1" applyFont="1" applyFill="1" applyBorder="1" applyAlignment="1">
      <alignment horizontal="center" vertical="center" wrapText="1"/>
    </xf>
    <xf numFmtId="4" fontId="15" fillId="13" borderId="9" xfId="1" applyNumberFormat="1" applyFont="1" applyFill="1" applyBorder="1" applyAlignment="1">
      <alignment horizontal="center" vertical="center" wrapText="1"/>
    </xf>
    <xf numFmtId="0" fontId="13" fillId="13" borderId="5" xfId="1" applyFont="1" applyFill="1" applyBorder="1" applyAlignment="1">
      <alignment horizontal="left" vertical="center" wrapText="1"/>
    </xf>
    <xf numFmtId="0" fontId="13" fillId="13" borderId="8" xfId="1" applyFont="1" applyFill="1" applyBorder="1" applyAlignment="1">
      <alignment horizontal="left" vertical="center" wrapText="1"/>
    </xf>
    <xf numFmtId="0" fontId="13" fillId="13" borderId="2" xfId="1" applyFont="1" applyFill="1" applyBorder="1" applyAlignment="1">
      <alignment horizontal="left" vertical="center" wrapText="1"/>
    </xf>
    <xf numFmtId="1" fontId="15" fillId="13" borderId="15" xfId="0" applyNumberFormat="1" applyFont="1" applyFill="1" applyBorder="1" applyAlignment="1">
      <alignment horizontal="center" wrapText="1"/>
    </xf>
    <xf numFmtId="1" fontId="15" fillId="13" borderId="0" xfId="0" applyNumberFormat="1" applyFont="1" applyFill="1" applyBorder="1" applyAlignment="1">
      <alignment horizontal="center" wrapText="1"/>
    </xf>
    <xf numFmtId="4" fontId="15" fillId="0" borderId="3" xfId="0" applyNumberFormat="1" applyFont="1" applyFill="1" applyBorder="1" applyAlignment="1">
      <alignment horizontal="center" vertical="top" wrapText="1"/>
    </xf>
    <xf numFmtId="4" fontId="15" fillId="0" borderId="4" xfId="0" applyNumberFormat="1" applyFont="1" applyFill="1" applyBorder="1" applyAlignment="1">
      <alignment horizontal="center" vertical="top" wrapText="1"/>
    </xf>
    <xf numFmtId="1" fontId="15" fillId="13" borderId="11" xfId="0" applyNumberFormat="1" applyFont="1" applyFill="1" applyBorder="1" applyAlignment="1">
      <alignment horizontal="center" wrapText="1"/>
    </xf>
    <xf numFmtId="4" fontId="15" fillId="0" borderId="3" xfId="0" applyNumberFormat="1" applyFont="1" applyFill="1" applyBorder="1" applyAlignment="1">
      <alignment horizontal="right" vertical="center" wrapText="1"/>
    </xf>
    <xf numFmtId="4" fontId="15" fillId="0" borderId="4" xfId="0" applyNumberFormat="1" applyFont="1" applyFill="1" applyBorder="1" applyAlignment="1">
      <alignment horizontal="right" vertical="center" wrapText="1"/>
    </xf>
    <xf numFmtId="1" fontId="15" fillId="0" borderId="3" xfId="0" applyNumberFormat="1" applyFont="1" applyFill="1" applyBorder="1" applyAlignment="1">
      <alignment horizontal="right" vertical="center" wrapText="1"/>
    </xf>
    <xf numFmtId="1" fontId="15" fillId="0" borderId="4" xfId="0" applyNumberFormat="1" applyFont="1" applyFill="1" applyBorder="1" applyAlignment="1">
      <alignment horizontal="right" vertical="center" wrapText="1"/>
    </xf>
    <xf numFmtId="1" fontId="15" fillId="0" borderId="3"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0" fontId="13" fillId="13" borderId="6" xfId="1" applyFont="1" applyFill="1" applyBorder="1" applyAlignment="1">
      <alignment horizontal="left" vertical="center" wrapText="1"/>
    </xf>
    <xf numFmtId="0" fontId="13" fillId="13" borderId="15" xfId="1" applyFont="1" applyFill="1" applyBorder="1" applyAlignment="1">
      <alignment horizontal="left" vertical="center" wrapText="1"/>
    </xf>
    <xf numFmtId="0" fontId="13" fillId="13" borderId="10" xfId="1" applyFont="1" applyFill="1" applyBorder="1" applyAlignment="1">
      <alignment horizontal="left" vertical="center" wrapText="1"/>
    </xf>
    <xf numFmtId="1" fontId="15" fillId="13" borderId="13" xfId="0" applyNumberFormat="1" applyFont="1" applyFill="1" applyBorder="1" applyAlignment="1">
      <alignment horizontal="center" vertical="center" wrapText="1"/>
    </xf>
    <xf numFmtId="1" fontId="15" fillId="13" borderId="0" xfId="0" applyNumberFormat="1" applyFont="1" applyFill="1" applyBorder="1" applyAlignment="1">
      <alignment horizontal="center" vertical="center" wrapText="1"/>
    </xf>
    <xf numFmtId="49" fontId="13" fillId="13" borderId="1" xfId="1" applyNumberFormat="1" applyFont="1" applyFill="1" applyBorder="1" applyAlignment="1">
      <alignment horizontal="center" vertical="center" wrapText="1"/>
    </xf>
    <xf numFmtId="0" fontId="13" fillId="13" borderId="1" xfId="1" applyFont="1" applyFill="1" applyBorder="1" applyAlignment="1">
      <alignment horizontal="center" vertical="center" wrapText="1"/>
    </xf>
    <xf numFmtId="0" fontId="13" fillId="13" borderId="3" xfId="1" applyFont="1" applyFill="1" applyBorder="1" applyAlignment="1">
      <alignment horizontal="left" vertical="center" wrapText="1"/>
    </xf>
    <xf numFmtId="49" fontId="13" fillId="13" borderId="1" xfId="0" applyNumberFormat="1"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3" borderId="3" xfId="0" applyFont="1" applyFill="1" applyBorder="1" applyAlignment="1">
      <alignment horizontal="left" vertical="center" wrapText="1"/>
    </xf>
    <xf numFmtId="4" fontId="15" fillId="0" borderId="6" xfId="0" applyNumberFormat="1" applyFont="1" applyFill="1" applyBorder="1" applyAlignment="1">
      <alignment vertical="center" wrapText="1"/>
    </xf>
    <xf numFmtId="4" fontId="15" fillId="0" borderId="12" xfId="0" applyNumberFormat="1" applyFont="1" applyFill="1" applyBorder="1" applyAlignment="1">
      <alignment vertical="center" wrapText="1"/>
    </xf>
    <xf numFmtId="1" fontId="15" fillId="13" borderId="3" xfId="0" applyNumberFormat="1" applyFont="1" applyFill="1" applyBorder="1" applyAlignment="1">
      <alignment horizontal="center" vertical="center" wrapText="1"/>
    </xf>
    <xf numFmtId="1" fontId="15" fillId="13" borderId="4" xfId="0" applyNumberFormat="1" applyFont="1" applyFill="1" applyBorder="1" applyAlignment="1">
      <alignment horizontal="center" vertical="center" wrapText="1"/>
    </xf>
    <xf numFmtId="1" fontId="15" fillId="13" borderId="6" xfId="0" applyNumberFormat="1" applyFont="1" applyFill="1" applyBorder="1" applyAlignment="1">
      <alignment horizontal="center" vertical="top" wrapText="1"/>
    </xf>
    <xf numFmtId="1" fontId="15" fillId="13" borderId="13" xfId="0" applyNumberFormat="1" applyFont="1" applyFill="1" applyBorder="1" applyAlignment="1">
      <alignment horizontal="center" vertical="top" wrapText="1"/>
    </xf>
    <xf numFmtId="1" fontId="15" fillId="13" borderId="15" xfId="0" applyNumberFormat="1" applyFont="1" applyFill="1" applyBorder="1" applyAlignment="1">
      <alignment horizontal="center" vertical="top" wrapText="1"/>
    </xf>
    <xf numFmtId="1" fontId="15" fillId="13" borderId="0" xfId="0" applyNumberFormat="1" applyFont="1" applyFill="1" applyBorder="1" applyAlignment="1">
      <alignment horizontal="center" vertical="top" wrapText="1"/>
    </xf>
    <xf numFmtId="0" fontId="0" fillId="0" borderId="5" xfId="0" applyFont="1" applyFill="1" applyBorder="1" applyAlignment="1">
      <alignment horizontal="center"/>
    </xf>
    <xf numFmtId="0" fontId="15" fillId="13" borderId="6" xfId="0" applyFont="1" applyFill="1" applyBorder="1" applyAlignment="1">
      <alignment horizontal="center"/>
    </xf>
    <xf numFmtId="0" fontId="15" fillId="13" borderId="13" xfId="0" applyFont="1" applyFill="1" applyBorder="1" applyAlignment="1">
      <alignment horizontal="center"/>
    </xf>
    <xf numFmtId="0" fontId="15" fillId="13" borderId="12" xfId="0" applyFont="1" applyFill="1" applyBorder="1" applyAlignment="1">
      <alignment horizontal="center"/>
    </xf>
    <xf numFmtId="3" fontId="13" fillId="13" borderId="5" xfId="1" applyNumberFormat="1" applyFont="1" applyFill="1" applyBorder="1" applyAlignment="1">
      <alignment horizontal="center" vertical="center" wrapText="1"/>
    </xf>
    <xf numFmtId="3" fontId="13" fillId="13" borderId="8" xfId="1" applyNumberFormat="1" applyFont="1" applyFill="1" applyBorder="1" applyAlignment="1">
      <alignment horizontal="center" vertical="center" wrapText="1"/>
    </xf>
    <xf numFmtId="49" fontId="13" fillId="13" borderId="5" xfId="0" applyNumberFormat="1" applyFont="1" applyFill="1" applyBorder="1" applyAlignment="1">
      <alignment horizontal="center" vertical="center" wrapText="1"/>
    </xf>
    <xf numFmtId="49" fontId="13" fillId="13" borderId="2" xfId="0" applyNumberFormat="1" applyFont="1" applyFill="1" applyBorder="1" applyAlignment="1">
      <alignment horizontal="center" vertical="center" wrapText="1"/>
    </xf>
    <xf numFmtId="4" fontId="15" fillId="0" borderId="3" xfId="0" applyNumberFormat="1" applyFont="1" applyFill="1" applyBorder="1" applyAlignment="1">
      <alignment horizontal="right"/>
    </xf>
    <xf numFmtId="4" fontId="15" fillId="0" borderId="4" xfId="0" applyNumberFormat="1" applyFont="1" applyFill="1" applyBorder="1" applyAlignment="1">
      <alignment horizontal="right"/>
    </xf>
    <xf numFmtId="4" fontId="0" fillId="0" borderId="3" xfId="0" applyNumberFormat="1" applyFont="1" applyFill="1" applyBorder="1" applyAlignment="1">
      <alignment horizontal="center"/>
    </xf>
    <xf numFmtId="4" fontId="0" fillId="0" borderId="4" xfId="0" applyNumberFormat="1" applyFont="1" applyFill="1" applyBorder="1" applyAlignment="1">
      <alignment horizontal="center"/>
    </xf>
    <xf numFmtId="0" fontId="0" fillId="0" borderId="2" xfId="0" applyFont="1" applyFill="1" applyBorder="1" applyAlignment="1">
      <alignment horizontal="center"/>
    </xf>
    <xf numFmtId="0" fontId="15" fillId="13" borderId="3" xfId="0" applyFont="1" applyFill="1" applyBorder="1" applyAlignment="1">
      <alignment horizontal="center" vertical="top" wrapText="1"/>
    </xf>
    <xf numFmtId="0" fontId="15" fillId="13" borderId="4" xfId="0" applyFont="1" applyFill="1" applyBorder="1" applyAlignment="1">
      <alignment horizontal="center" vertical="top" wrapText="1"/>
    </xf>
    <xf numFmtId="0" fontId="0" fillId="0" borderId="10" xfId="0" applyFont="1" applyFill="1" applyBorder="1" applyAlignment="1">
      <alignment horizontal="center"/>
    </xf>
    <xf numFmtId="0" fontId="0" fillId="0" borderId="16"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6" xfId="0" applyFont="1" applyFill="1" applyBorder="1" applyAlignment="1">
      <alignment horizontal="center"/>
    </xf>
    <xf numFmtId="0" fontId="0" fillId="0" borderId="12" xfId="0" applyFont="1" applyFill="1" applyBorder="1" applyAlignment="1">
      <alignment horizontal="center"/>
    </xf>
    <xf numFmtId="0" fontId="0" fillId="0" borderId="15" xfId="0" applyFont="1" applyFill="1" applyBorder="1" applyAlignment="1">
      <alignment horizontal="center"/>
    </xf>
    <xf numFmtId="0" fontId="0" fillId="0" borderId="14" xfId="0" applyFont="1" applyFill="1" applyBorder="1" applyAlignment="1">
      <alignment horizontal="center"/>
    </xf>
    <xf numFmtId="0" fontId="0" fillId="0" borderId="1" xfId="0" applyFont="1" applyFill="1" applyBorder="1" applyAlignment="1">
      <alignment horizontal="center"/>
    </xf>
    <xf numFmtId="4" fontId="0" fillId="0" borderId="1" xfId="0" applyNumberFormat="1" applyFont="1" applyFill="1" applyBorder="1" applyAlignment="1">
      <alignment horizontal="center"/>
    </xf>
    <xf numFmtId="1" fontId="15" fillId="13" borderId="9" xfId="0" applyNumberFormat="1" applyFont="1" applyFill="1" applyBorder="1" applyAlignment="1">
      <alignment horizontal="center" vertical="center" wrapText="1"/>
    </xf>
    <xf numFmtId="1" fontId="15" fillId="13" borderId="1" xfId="0" applyNumberFormat="1" applyFont="1" applyFill="1" applyBorder="1" applyAlignment="1">
      <alignment horizontal="center" vertical="top" wrapText="1"/>
    </xf>
    <xf numFmtId="1" fontId="15" fillId="13" borderId="15" xfId="0" applyNumberFormat="1" applyFont="1" applyFill="1" applyBorder="1" applyAlignment="1">
      <alignment horizontal="center"/>
    </xf>
    <xf numFmtId="1" fontId="15" fillId="13" borderId="0" xfId="0" applyNumberFormat="1" applyFont="1" applyFill="1" applyBorder="1" applyAlignment="1">
      <alignment horizontal="center"/>
    </xf>
    <xf numFmtId="1" fontId="15" fillId="13" borderId="14" xfId="0" applyNumberFormat="1" applyFont="1" applyFill="1" applyBorder="1" applyAlignment="1">
      <alignment horizontal="center"/>
    </xf>
    <xf numFmtId="4" fontId="8" fillId="13" borderId="3" xfId="0" applyNumberFormat="1" applyFont="1" applyFill="1" applyBorder="1" applyAlignment="1">
      <alignment horizontal="center"/>
    </xf>
    <xf numFmtId="4" fontId="8" fillId="13" borderId="4" xfId="0" applyNumberFormat="1" applyFont="1" applyFill="1" applyBorder="1" applyAlignment="1">
      <alignment horizontal="center"/>
    </xf>
    <xf numFmtId="4" fontId="15" fillId="13" borderId="1" xfId="0" applyNumberFormat="1" applyFont="1" applyFill="1" applyBorder="1" applyAlignment="1">
      <alignment horizontal="right" vertical="center" wrapText="1"/>
    </xf>
    <xf numFmtId="1" fontId="15" fillId="13" borderId="6" xfId="0" applyNumberFormat="1" applyFont="1" applyFill="1" applyBorder="1" applyAlignment="1">
      <alignment horizontal="center" wrapText="1"/>
    </xf>
    <xf numFmtId="1" fontId="15" fillId="13" borderId="13" xfId="0" applyNumberFormat="1" applyFont="1" applyFill="1" applyBorder="1" applyAlignment="1">
      <alignment horizontal="center" wrapText="1"/>
    </xf>
    <xf numFmtId="0" fontId="0" fillId="0" borderId="8" xfId="0" applyFont="1" applyFill="1" applyBorder="1" applyAlignment="1">
      <alignment horizontal="center"/>
    </xf>
    <xf numFmtId="0" fontId="134" fillId="0" borderId="1" xfId="0" applyFont="1" applyBorder="1" applyAlignment="1">
      <alignment horizontal="center"/>
    </xf>
    <xf numFmtId="49" fontId="23" fillId="13" borderId="8" xfId="1" applyNumberFormat="1" applyFont="1" applyFill="1" applyBorder="1" applyAlignment="1">
      <alignment horizontal="center" vertical="center" wrapText="1"/>
    </xf>
    <xf numFmtId="49" fontId="23" fillId="13" borderId="2" xfId="1" applyNumberFormat="1" applyFont="1" applyFill="1" applyBorder="1" applyAlignment="1">
      <alignment horizontal="center" vertical="center" wrapText="1"/>
    </xf>
    <xf numFmtId="0" fontId="23" fillId="13" borderId="2" xfId="1" applyFont="1" applyFill="1" applyBorder="1" applyAlignment="1">
      <alignment horizontal="center" vertical="center" wrapText="1"/>
    </xf>
    <xf numFmtId="0" fontId="23" fillId="13" borderId="1" xfId="1" applyFont="1" applyFill="1" applyBorder="1" applyAlignment="1">
      <alignment horizontal="center" vertical="center" wrapText="1"/>
    </xf>
    <xf numFmtId="0" fontId="23" fillId="13" borderId="15" xfId="1" applyFont="1" applyFill="1" applyBorder="1" applyAlignment="1">
      <alignment horizontal="center" vertical="center" wrapText="1"/>
    </xf>
    <xf numFmtId="0" fontId="23" fillId="13" borderId="10" xfId="1" applyFont="1" applyFill="1" applyBorder="1" applyAlignment="1">
      <alignment horizontal="center" vertical="center" wrapText="1"/>
    </xf>
    <xf numFmtId="4" fontId="23" fillId="13" borderId="8"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3" borderId="1" xfId="0" applyFont="1" applyFill="1" applyBorder="1" applyAlignment="1">
      <alignment horizontal="center" vertical="center" wrapText="1"/>
    </xf>
    <xf numFmtId="4" fontId="23" fillId="13" borderId="5" xfId="1" applyNumberFormat="1" applyFont="1" applyFill="1" applyBorder="1" applyAlignment="1">
      <alignment horizontal="right" vertical="center" wrapText="1"/>
    </xf>
    <xf numFmtId="4" fontId="23" fillId="13" borderId="2" xfId="1" applyNumberFormat="1" applyFont="1" applyFill="1" applyBorder="1" applyAlignment="1">
      <alignment horizontal="right" vertical="center" wrapText="1"/>
    </xf>
    <xf numFmtId="0" fontId="15" fillId="13" borderId="3" xfId="0" applyFont="1" applyFill="1" applyBorder="1" applyAlignment="1">
      <alignment horizontal="left" vertical="center" wrapText="1"/>
    </xf>
    <xf numFmtId="0" fontId="15" fillId="13" borderId="9" xfId="0" applyFont="1" applyFill="1" applyBorder="1" applyAlignment="1">
      <alignment horizontal="left" vertical="center" wrapText="1"/>
    </xf>
    <xf numFmtId="0" fontId="15" fillId="13" borderId="4" xfId="0" applyFont="1" applyFill="1" applyBorder="1" applyAlignment="1">
      <alignment horizontal="left" vertical="center" wrapText="1"/>
    </xf>
    <xf numFmtId="0" fontId="23" fillId="13" borderId="5"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5" xfId="0" applyFont="1" applyFill="1" applyBorder="1" applyAlignment="1">
      <alignment horizontal="center" vertical="center" wrapText="1"/>
    </xf>
    <xf numFmtId="4" fontId="15" fillId="13" borderId="3" xfId="0" applyNumberFormat="1" applyFont="1" applyFill="1" applyBorder="1" applyAlignment="1">
      <alignment horizontal="right" vertical="center" wrapText="1"/>
    </xf>
    <xf numFmtId="4" fontId="19" fillId="13" borderId="1" xfId="0" applyNumberFormat="1" applyFont="1" applyFill="1" applyBorder="1" applyAlignment="1"/>
    <xf numFmtId="1" fontId="15" fillId="13" borderId="6" xfId="0" applyNumberFormat="1" applyFont="1" applyFill="1" applyBorder="1" applyAlignment="1">
      <alignment horizontal="left" vertical="top" wrapText="1"/>
    </xf>
    <xf numFmtId="1" fontId="15" fillId="13" borderId="13" xfId="0" applyNumberFormat="1" applyFont="1" applyFill="1" applyBorder="1" applyAlignment="1">
      <alignment horizontal="left" vertical="top" wrapText="1"/>
    </xf>
    <xf numFmtId="1" fontId="15" fillId="13" borderId="12" xfId="0" applyNumberFormat="1" applyFont="1" applyFill="1" applyBorder="1" applyAlignment="1">
      <alignment horizontal="left" vertical="top" wrapText="1"/>
    </xf>
    <xf numFmtId="0" fontId="117" fillId="8" borderId="1" xfId="1" applyFont="1" applyFill="1" applyBorder="1" applyAlignment="1">
      <alignment horizontal="center" vertical="center" wrapText="1"/>
    </xf>
    <xf numFmtId="0" fontId="117" fillId="0" borderId="5" xfId="0" applyFont="1" applyBorder="1" applyAlignment="1">
      <alignment horizontal="center" vertical="top" wrapText="1"/>
    </xf>
    <xf numFmtId="0" fontId="117" fillId="0" borderId="2" xfId="0" applyFont="1" applyBorder="1" applyAlignment="1">
      <alignment horizontal="center" vertical="top" wrapText="1"/>
    </xf>
    <xf numFmtId="0" fontId="117" fillId="8" borderId="5" xfId="0" applyFont="1" applyFill="1" applyBorder="1" applyAlignment="1">
      <alignment horizontal="center" vertical="top" wrapText="1"/>
    </xf>
    <xf numFmtId="0" fontId="117" fillId="8" borderId="2" xfId="0" applyFont="1" applyFill="1" applyBorder="1" applyAlignment="1">
      <alignment horizontal="center" vertical="top" wrapText="1"/>
    </xf>
    <xf numFmtId="0" fontId="117" fillId="0" borderId="3" xfId="0" applyFont="1" applyFill="1" applyBorder="1" applyAlignment="1">
      <alignment horizontal="center" vertical="top" wrapText="1"/>
    </xf>
    <xf numFmtId="0" fontId="117" fillId="0" borderId="4" xfId="0" applyFont="1" applyFill="1" applyBorder="1" applyAlignment="1">
      <alignment horizontal="center" vertical="top" wrapText="1"/>
    </xf>
    <xf numFmtId="0" fontId="8" fillId="8" borderId="5" xfId="1" applyFont="1" applyFill="1" applyBorder="1" applyAlignment="1">
      <alignment horizontal="center" vertical="top" wrapText="1"/>
    </xf>
    <xf numFmtId="0" fontId="8" fillId="8" borderId="8" xfId="1" applyFont="1" applyFill="1" applyBorder="1" applyAlignment="1">
      <alignment horizontal="center" vertical="top" wrapText="1"/>
    </xf>
    <xf numFmtId="0" fontId="8" fillId="8" borderId="2" xfId="1" applyFont="1" applyFill="1" applyBorder="1" applyAlignment="1">
      <alignment horizontal="center" vertical="top" wrapText="1"/>
    </xf>
    <xf numFmtId="0" fontId="8" fillId="12" borderId="8" xfId="1" applyFont="1" applyFill="1" applyBorder="1" applyAlignment="1">
      <alignment horizontal="center" vertical="center" wrapText="1"/>
    </xf>
    <xf numFmtId="0" fontId="8" fillId="12" borderId="2" xfId="1" applyFont="1" applyFill="1" applyBorder="1" applyAlignment="1">
      <alignment horizontal="center" vertical="center" wrapText="1"/>
    </xf>
    <xf numFmtId="0" fontId="8" fillId="8" borderId="5" xfId="0" applyFont="1" applyFill="1" applyBorder="1" applyAlignment="1">
      <alignment horizontal="center" vertical="top" wrapText="1" shrinkToFit="1"/>
    </xf>
    <xf numFmtId="0" fontId="8" fillId="8" borderId="2" xfId="0" applyFont="1" applyFill="1" applyBorder="1" applyAlignment="1">
      <alignment horizontal="center" vertical="top" wrapText="1" shrinkToFit="1"/>
    </xf>
    <xf numFmtId="0" fontId="8" fillId="8" borderId="5" xfId="0" applyFont="1" applyFill="1" applyBorder="1" applyAlignment="1">
      <alignment horizontal="center" vertical="top" wrapText="1"/>
    </xf>
    <xf numFmtId="0" fontId="8" fillId="8" borderId="8" xfId="0" applyFont="1" applyFill="1" applyBorder="1" applyAlignment="1">
      <alignment horizontal="center" vertical="top" wrapText="1"/>
    </xf>
    <xf numFmtId="49" fontId="8" fillId="0" borderId="5"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5" xfId="0" applyFont="1" applyFill="1" applyBorder="1" applyAlignment="1">
      <alignment horizontal="center" vertical="top" wrapText="1" shrinkToFit="1"/>
    </xf>
    <xf numFmtId="0" fontId="8" fillId="0" borderId="2" xfId="0" applyFont="1" applyFill="1" applyBorder="1" applyAlignment="1">
      <alignment horizontal="center" vertical="top" wrapText="1" shrinkToFit="1"/>
    </xf>
    <xf numFmtId="49" fontId="117" fillId="0" borderId="5" xfId="0" applyNumberFormat="1" applyFont="1" applyFill="1" applyBorder="1" applyAlignment="1">
      <alignment horizontal="center" vertical="top" wrapText="1"/>
    </xf>
    <xf numFmtId="49" fontId="117" fillId="0" borderId="8" xfId="0" applyNumberFormat="1" applyFont="1" applyFill="1" applyBorder="1" applyAlignment="1">
      <alignment horizontal="center" vertical="top" wrapText="1"/>
    </xf>
    <xf numFmtId="49" fontId="117" fillId="0" borderId="8" xfId="0" applyNumberFormat="1" applyFont="1" applyFill="1" applyBorder="1" applyAlignment="1">
      <alignment horizontal="center" vertical="top"/>
    </xf>
    <xf numFmtId="49" fontId="8" fillId="8" borderId="5" xfId="0" applyNumberFormat="1" applyFont="1" applyFill="1" applyBorder="1" applyAlignment="1">
      <alignment horizontal="center" vertical="top"/>
    </xf>
    <xf numFmtId="49" fontId="8" fillId="8" borderId="8" xfId="0" applyNumberFormat="1" applyFont="1" applyFill="1" applyBorder="1" applyAlignment="1">
      <alignment horizontal="center" vertical="top"/>
    </xf>
    <xf numFmtId="49" fontId="8" fillId="8" borderId="2" xfId="0" applyNumberFormat="1" applyFont="1" applyFill="1" applyBorder="1" applyAlignment="1">
      <alignment horizontal="center" vertical="top"/>
    </xf>
    <xf numFmtId="49" fontId="8" fillId="0" borderId="5"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0" fontId="8" fillId="8" borderId="8" xfId="0" applyFont="1" applyFill="1" applyBorder="1" applyAlignment="1">
      <alignment horizontal="center" vertical="top" wrapText="1" shrinkToFit="1"/>
    </xf>
    <xf numFmtId="0" fontId="8" fillId="8" borderId="5" xfId="0" applyFont="1" applyFill="1" applyBorder="1" applyAlignment="1">
      <alignment horizontal="left" vertical="top" wrapText="1" shrinkToFit="1"/>
    </xf>
    <xf numFmtId="0" fontId="8" fillId="8" borderId="8" xfId="0" applyFont="1" applyFill="1" applyBorder="1" applyAlignment="1">
      <alignment horizontal="left" vertical="top" wrapText="1" shrinkToFit="1"/>
    </xf>
    <xf numFmtId="49" fontId="8" fillId="8" borderId="5" xfId="0" applyNumberFormat="1" applyFont="1" applyFill="1" applyBorder="1" applyAlignment="1">
      <alignment horizontal="left" vertical="top" wrapText="1"/>
    </xf>
    <xf numFmtId="49" fontId="8" fillId="8" borderId="8" xfId="0" applyNumberFormat="1" applyFont="1" applyFill="1" applyBorder="1" applyAlignment="1">
      <alignment horizontal="left" vertical="top" wrapText="1"/>
    </xf>
    <xf numFmtId="49" fontId="8" fillId="8" borderId="2" xfId="0" applyNumberFormat="1" applyFont="1" applyFill="1" applyBorder="1" applyAlignment="1">
      <alignment horizontal="left" vertical="top" wrapText="1"/>
    </xf>
    <xf numFmtId="49" fontId="8" fillId="8" borderId="1" xfId="0" applyNumberFormat="1" applyFont="1" applyFill="1" applyBorder="1" applyAlignment="1">
      <alignment horizontal="center" vertical="top"/>
    </xf>
    <xf numFmtId="0" fontId="8" fillId="8" borderId="1" xfId="0" applyFont="1" applyFill="1" applyBorder="1" applyAlignment="1">
      <alignment horizontal="center" vertical="top" wrapText="1" shrinkToFit="1"/>
    </xf>
    <xf numFmtId="0" fontId="8" fillId="8" borderId="1" xfId="0" applyFont="1" applyFill="1" applyBorder="1" applyAlignment="1">
      <alignment horizontal="left" vertical="top" wrapText="1" shrinkToFit="1"/>
    </xf>
    <xf numFmtId="0" fontId="57" fillId="8" borderId="5" xfId="0" applyFont="1" applyFill="1" applyBorder="1" applyAlignment="1">
      <alignment horizontal="left" vertical="top" wrapText="1" shrinkToFit="1"/>
    </xf>
    <xf numFmtId="0" fontId="57" fillId="8" borderId="8" xfId="0" applyFont="1" applyFill="1" applyBorder="1" applyAlignment="1">
      <alignment horizontal="left" vertical="top" wrapText="1" shrinkToFit="1"/>
    </xf>
    <xf numFmtId="0" fontId="57" fillId="8" borderId="2" xfId="0" applyFont="1" applyFill="1" applyBorder="1" applyAlignment="1">
      <alignment horizontal="left" vertical="top" wrapText="1" shrinkToFit="1"/>
    </xf>
    <xf numFmtId="0" fontId="8" fillId="0" borderId="5" xfId="0" applyFont="1" applyFill="1" applyBorder="1" applyAlignment="1">
      <alignment horizontal="left" vertical="top" wrapText="1" shrinkToFit="1"/>
    </xf>
    <xf numFmtId="0" fontId="8" fillId="0" borderId="8" xfId="0" applyFont="1" applyFill="1" applyBorder="1" applyAlignment="1">
      <alignment horizontal="left" vertical="top" wrapText="1" shrinkToFit="1"/>
    </xf>
    <xf numFmtId="0" fontId="8" fillId="0" borderId="2" xfId="0" applyFont="1" applyFill="1" applyBorder="1" applyAlignment="1">
      <alignment horizontal="left" vertical="top" wrapText="1" shrinkToFit="1"/>
    </xf>
    <xf numFmtId="0" fontId="57" fillId="8" borderId="5" xfId="0" applyFont="1" applyFill="1" applyBorder="1" applyAlignment="1">
      <alignment horizontal="center" vertical="top" wrapText="1"/>
    </xf>
    <xf numFmtId="0" fontId="57" fillId="8" borderId="8" xfId="0" applyFont="1" applyFill="1" applyBorder="1" applyAlignment="1">
      <alignment horizontal="center" vertical="top" wrapText="1"/>
    </xf>
    <xf numFmtId="49" fontId="117" fillId="0" borderId="5" xfId="0" applyNumberFormat="1" applyFont="1" applyFill="1" applyBorder="1" applyAlignment="1">
      <alignment horizontal="center" vertical="top"/>
    </xf>
    <xf numFmtId="49" fontId="117" fillId="0" borderId="2" xfId="0" applyNumberFormat="1" applyFont="1" applyFill="1" applyBorder="1" applyAlignment="1">
      <alignment horizontal="center" vertical="top"/>
    </xf>
    <xf numFmtId="0" fontId="117" fillId="0" borderId="5" xfId="0" applyFont="1" applyFill="1" applyBorder="1" applyAlignment="1">
      <alignment horizontal="left" vertical="top" wrapText="1" shrinkToFit="1"/>
    </xf>
    <xf numFmtId="0" fontId="117" fillId="0" borderId="2" xfId="0" applyFont="1" applyFill="1" applyBorder="1" applyAlignment="1">
      <alignment horizontal="left" vertical="top" wrapText="1" shrinkToFit="1"/>
    </xf>
    <xf numFmtId="0" fontId="13" fillId="0" borderId="0" xfId="0" applyFont="1" applyAlignment="1">
      <alignment horizontal="center"/>
    </xf>
    <xf numFmtId="0" fontId="13" fillId="0" borderId="0" xfId="0" applyFont="1" applyFill="1" applyAlignment="1">
      <alignment horizontal="center"/>
    </xf>
    <xf numFmtId="0" fontId="8" fillId="0" borderId="5"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 xfId="0" applyFont="1" applyFill="1" applyBorder="1" applyAlignment="1">
      <alignment horizontal="center" vertical="top" wrapText="1"/>
    </xf>
    <xf numFmtId="49" fontId="15" fillId="0" borderId="5" xfId="0" applyNumberFormat="1" applyFont="1" applyFill="1" applyBorder="1" applyAlignment="1">
      <alignment horizontal="center" vertical="top"/>
    </xf>
    <xf numFmtId="49" fontId="15" fillId="0" borderId="8" xfId="0" applyNumberFormat="1" applyFont="1" applyFill="1" applyBorder="1" applyAlignment="1">
      <alignment horizontal="center" vertical="top"/>
    </xf>
    <xf numFmtId="49" fontId="15" fillId="0" borderId="2" xfId="0" applyNumberFormat="1" applyFont="1" applyFill="1" applyBorder="1" applyAlignment="1">
      <alignment horizontal="center" vertical="top"/>
    </xf>
    <xf numFmtId="0" fontId="15" fillId="0" borderId="5" xfId="0" applyFont="1" applyFill="1" applyBorder="1" applyAlignment="1">
      <alignment horizontal="left" vertical="top" wrapText="1" shrinkToFit="1"/>
    </xf>
    <xf numFmtId="0" fontId="15" fillId="0" borderId="2" xfId="0" applyFont="1" applyFill="1" applyBorder="1" applyAlignment="1">
      <alignment horizontal="left" vertical="top" wrapText="1" shrinkToFit="1"/>
    </xf>
    <xf numFmtId="0" fontId="15" fillId="0" borderId="5" xfId="0" applyFont="1" applyFill="1" applyBorder="1" applyAlignment="1">
      <alignment horizontal="center" vertical="top" wrapText="1" shrinkToFit="1"/>
    </xf>
    <xf numFmtId="0" fontId="15" fillId="0" borderId="8" xfId="0" applyFont="1" applyFill="1" applyBorder="1" applyAlignment="1">
      <alignment vertical="top" wrapText="1" shrinkToFit="1"/>
    </xf>
    <xf numFmtId="0" fontId="15" fillId="0" borderId="2" xfId="0" applyFont="1" applyFill="1" applyBorder="1" applyAlignment="1">
      <alignment vertical="top" wrapText="1" shrinkToFit="1"/>
    </xf>
    <xf numFmtId="0" fontId="15" fillId="0" borderId="5" xfId="0" applyFont="1" applyFill="1" applyBorder="1" applyAlignment="1">
      <alignment vertical="top" wrapText="1" shrinkToFit="1"/>
    </xf>
    <xf numFmtId="0" fontId="15" fillId="0" borderId="5" xfId="0" applyFont="1" applyBorder="1" applyAlignment="1">
      <alignment vertical="top" wrapText="1"/>
    </xf>
    <xf numFmtId="0" fontId="15" fillId="0" borderId="2" xfId="0" applyFont="1" applyBorder="1" applyAlignment="1">
      <alignment vertical="top" wrapText="1"/>
    </xf>
    <xf numFmtId="0" fontId="34" fillId="0" borderId="0" xfId="0" applyFont="1" applyFill="1" applyAlignment="1">
      <alignment horizontal="center"/>
    </xf>
    <xf numFmtId="0" fontId="15" fillId="0" borderId="1" xfId="0" applyFont="1" applyFill="1" applyBorder="1" applyAlignment="1">
      <alignment horizontal="center" vertical="top" wrapText="1"/>
    </xf>
    <xf numFmtId="0" fontId="13" fillId="2" borderId="0" xfId="0" applyFont="1" applyFill="1" applyAlignment="1">
      <alignment horizontal="center" wrapText="1"/>
    </xf>
    <xf numFmtId="0" fontId="15" fillId="0" borderId="6" xfId="0" applyFont="1" applyFill="1" applyBorder="1" applyAlignment="1">
      <alignment horizontal="center" vertical="top" wrapText="1"/>
    </xf>
    <xf numFmtId="0" fontId="15" fillId="0" borderId="10" xfId="0" applyFont="1" applyFill="1" applyBorder="1" applyAlignment="1">
      <alignment horizontal="center" vertical="top" wrapText="1"/>
    </xf>
    <xf numFmtId="49" fontId="15" fillId="0" borderId="5"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15" fillId="0" borderId="5" xfId="0" applyFont="1" applyBorder="1" applyAlignment="1">
      <alignment horizontal="left" vertical="top" wrapText="1"/>
    </xf>
    <xf numFmtId="0" fontId="15" fillId="0" borderId="2" xfId="0" applyFont="1" applyBorder="1" applyAlignment="1">
      <alignment horizontal="left" vertical="top" wrapText="1"/>
    </xf>
    <xf numFmtId="0" fontId="15" fillId="0" borderId="8" xfId="0" applyFont="1" applyBorder="1" applyAlignment="1">
      <alignment horizontal="left" vertical="top" wrapText="1"/>
    </xf>
    <xf numFmtId="49" fontId="15" fillId="0" borderId="5" xfId="0" applyNumberFormat="1" applyFont="1" applyBorder="1" applyAlignment="1">
      <alignment horizontal="center" vertical="top" wrapText="1"/>
    </xf>
    <xf numFmtId="49" fontId="15" fillId="0" borderId="2"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8" xfId="0" applyFont="1" applyBorder="1" applyAlignment="1">
      <alignment horizontal="center" vertical="top" wrapText="1"/>
    </xf>
    <xf numFmtId="0" fontId="15" fillId="0" borderId="2" xfId="0" applyFont="1" applyBorder="1" applyAlignment="1">
      <alignment horizontal="center" vertical="top" wrapText="1"/>
    </xf>
    <xf numFmtId="0" fontId="15" fillId="0" borderId="8" xfId="0" applyFont="1" applyBorder="1" applyAlignment="1">
      <alignment vertical="top" wrapText="1"/>
    </xf>
    <xf numFmtId="0" fontId="22" fillId="0" borderId="5" xfId="0" applyFont="1" applyFill="1" applyBorder="1" applyAlignment="1">
      <alignment vertical="top" wrapText="1" shrinkToFit="1"/>
    </xf>
    <xf numFmtId="0" fontId="22" fillId="0" borderId="2" xfId="0" applyFont="1" applyFill="1" applyBorder="1" applyAlignment="1">
      <alignment vertical="top" wrapText="1" shrinkToFit="1"/>
    </xf>
  </cellXfs>
  <cellStyles count="14">
    <cellStyle name="Normal_Доходи" xfId="1"/>
    <cellStyle name="Звичайний 2" xfId="2"/>
    <cellStyle name="Звичайний 3" xfId="3"/>
    <cellStyle name="Обычный" xfId="0" builtinId="0"/>
    <cellStyle name="Обычный 3" xfId="4"/>
    <cellStyle name="Обычный_dodатки_2015_вересень" xfId="5"/>
    <cellStyle name="Обычный_дод_ріш_бт2017" xfId="6"/>
    <cellStyle name="Обычный_Наборка ІІ кошик_2010" xfId="7"/>
    <cellStyle name="Обычный_Сеся15.08.08" xfId="8"/>
    <cellStyle name="Обычный_Сеся15.08.08 2" xfId="9"/>
    <cellStyle name="Стиль 1" xfId="10"/>
    <cellStyle name="Финансовый" xfId="13" builtinId="3"/>
    <cellStyle name="Финансовый 2" xfId="11"/>
    <cellStyle name="Финансовый_Richenai_21.12.2017(26071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542925</xdr:colOff>
      <xdr:row>28</xdr:row>
      <xdr:rowOff>0</xdr:rowOff>
    </xdr:from>
    <xdr:to>
      <xdr:col>4</xdr:col>
      <xdr:colOff>542925</xdr:colOff>
      <xdr:row>28</xdr:row>
      <xdr:rowOff>0</xdr:rowOff>
    </xdr:to>
    <xdr:sp macro="" textlink="">
      <xdr:nvSpPr>
        <xdr:cNvPr id="1374673" name="Line 1"/>
        <xdr:cNvSpPr>
          <a:spLocks noChangeShapeType="1"/>
        </xdr:cNvSpPr>
      </xdr:nvSpPr>
      <xdr:spPr bwMode="auto">
        <a:xfrm flipH="1">
          <a:off x="3619500" y="10858500"/>
          <a:ext cx="2495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676275</xdr:colOff>
      <xdr:row>28</xdr:row>
      <xdr:rowOff>0</xdr:rowOff>
    </xdr:from>
    <xdr:to>
      <xdr:col>3</xdr:col>
      <xdr:colOff>1476375</xdr:colOff>
      <xdr:row>28</xdr:row>
      <xdr:rowOff>0</xdr:rowOff>
    </xdr:to>
    <xdr:sp macro="" textlink="">
      <xdr:nvSpPr>
        <xdr:cNvPr id="1374674" name="Line 2"/>
        <xdr:cNvSpPr>
          <a:spLocks noChangeShapeType="1"/>
        </xdr:cNvSpPr>
      </xdr:nvSpPr>
      <xdr:spPr bwMode="auto">
        <a:xfrm flipH="1">
          <a:off x="3752850" y="10858500"/>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8</xdr:row>
      <xdr:rowOff>28575</xdr:rowOff>
    </xdr:from>
    <xdr:to>
      <xdr:col>3</xdr:col>
      <xdr:colOff>76200</xdr:colOff>
      <xdr:row>8</xdr:row>
      <xdr:rowOff>28575</xdr:rowOff>
    </xdr:to>
    <xdr:sp macro="" textlink="">
      <xdr:nvSpPr>
        <xdr:cNvPr id="1374675" name="Line 3"/>
        <xdr:cNvSpPr>
          <a:spLocks noChangeShapeType="1"/>
        </xdr:cNvSpPr>
      </xdr:nvSpPr>
      <xdr:spPr bwMode="auto">
        <a:xfrm>
          <a:off x="3143250" y="224790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556260</xdr:colOff>
      <xdr:row>398</xdr:row>
      <xdr:rowOff>0</xdr:rowOff>
    </xdr:from>
    <xdr:ext cx="184731" cy="264560"/>
    <xdr:sp macro="" textlink="">
      <xdr:nvSpPr>
        <xdr:cNvPr id="2" name="TextBox 1"/>
        <xdr:cNvSpPr txBox="1"/>
      </xdr:nvSpPr>
      <xdr:spPr>
        <a:xfrm>
          <a:off x="1905762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9</xdr:col>
      <xdr:colOff>812378</xdr:colOff>
      <xdr:row>386</xdr:row>
      <xdr:rowOff>0</xdr:rowOff>
    </xdr:from>
    <xdr:ext cx="927655" cy="273683"/>
    <xdr:sp macro="" textlink="">
      <xdr:nvSpPr>
        <xdr:cNvPr id="3" name="TextBox 2"/>
        <xdr:cNvSpPr txBox="1"/>
      </xdr:nvSpPr>
      <xdr:spPr>
        <a:xfrm flipH="1">
          <a:off x="17369368" y="96151700"/>
          <a:ext cx="91778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ru-RU"/>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87410" name="Line 1"/>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1" name="Line 2"/>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2" name="Line 3"/>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3" name="Line 4"/>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4" name="Line 5"/>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5" name="Line 6"/>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6" name="Line 7"/>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7" name="Line 8"/>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8" name="Line 9"/>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19" name="Line 10"/>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20" name="Line 11"/>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21" name="Line 12"/>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22" name="Line 13"/>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23" name="Line 14"/>
        <xdr:cNvSpPr>
          <a:spLocks noChangeShapeType="1"/>
        </xdr:cNvSpPr>
      </xdr:nvSpPr>
      <xdr:spPr bwMode="auto">
        <a:xfrm flipV="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24" name="Line 15"/>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87425" name="Line 16"/>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2;&#1086;&#1080;%20&#1076;&#1086;&#1082;&#1091;&#1084;&#1077;&#1085;&#1090;&#1080;\Sesii%20obl%20radu\2020\5&#1057;&#1077;&#1089;&#1110;&#1103;%20&#1083;&#1080;&#1089;&#1090;&#1086;&#1087;&#1072;&#1076;%202020\&#1055;&#1088;&#1086;%20&#1086;&#1073;&#1083;&#1072;&#1089;&#1085;&#1080;&#1081;%20&#1073;&#1102;&#1076;&#1078;&#1077;&#1090;%20&#1085;&#1072;%202021%20&#1088;&#1110;&#1082;\&#1055;&#1088;&#1086;&#1077;&#1082;&#1090;%20&#8470;1\dod_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52;&#1086;&#1080;%20&#1076;&#1086;&#1082;&#1091;&#1084;&#1077;&#1085;&#1090;&#1080;\Sesii%20obl%20radu\2021\&#1057;&#1077;&#1089;&#1110;&#1103;%2027.05.2021\&#1055;&#1088;&#1086;%20&#1074;&#1085;&#1077;&#1089;&#1077;&#1085;&#1085;&#1103;%20&#1079;&#1084;&#1110;&#1085;%20&#1076;&#1086;%20&#1086;&#1073;&#1083;&#1072;&#1089;&#1085;&#1086;&#1075;&#1086;%20&#1073;&#1102;&#1076;&#1078;&#1077;&#1090;&#1091;\&#1055;&#1088;&#1086;&#1077;&#1082;&#1090;%20&#8470;%201\dod_&#1055;&#1056;&#1054;&#1028;&#1050;&#105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1.3нема"/>
      <sheetName val="дод1.4нема"/>
      <sheetName val="дод1.5 нема"/>
      <sheetName val="дод1"/>
      <sheetName val="дод1.1"/>
      <sheetName val="дод 1.2немає"/>
      <sheetName val="дод1.3немає "/>
      <sheetName val="дод2"/>
      <sheetName val="дод3"/>
      <sheetName val="дод 4"/>
      <sheetName val="Додаток 5_Д"/>
      <sheetName val="Додаток 5_В"/>
      <sheetName val=" дод 5_1"/>
      <sheetName val="дод5.2"/>
      <sheetName val="дод6"/>
      <sheetName val="дод7"/>
      <sheetName val="Контроль"/>
      <sheetName val="джерела змін"/>
      <sheetName val="Інші субвенції_ГРК-ДФ,облрада"/>
      <sheetName val="Інші субвенції усі ГРК"/>
      <sheetName val="джерела змін  з наростаючи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07">
          <cell r="J207">
            <v>200000</v>
          </cell>
        </row>
        <row r="210">
          <cell r="J210">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1"/>
      <sheetName val="дод1.1"/>
      <sheetName val=" дод1.2"/>
      <sheetName val=" дод1.3"/>
      <sheetName val="чистий бланк"/>
      <sheetName val="дод2"/>
      <sheetName val="дод3"/>
      <sheetName val="дод 4"/>
      <sheetName val="Додаток 5_Д"/>
      <sheetName val="Додаток 5_В"/>
      <sheetName val=" дод 5_1немає"/>
      <sheetName val="дод5.2немає"/>
      <sheetName val="дод6"/>
      <sheetName val="Контроль"/>
      <sheetName val="дод7"/>
      <sheetName val="джерела змін"/>
      <sheetName val="Інші субвенції_ГРК-ДФ,облрада"/>
      <sheetName val="Інші субвенції усі ГРК"/>
      <sheetName val="джерела змін  з наростаючим"/>
    </sheetNames>
    <sheetDataSet>
      <sheetData sheetId="0">
        <row r="160">
          <cell r="C160">
            <v>2573300</v>
          </cell>
          <cell r="D160">
            <v>759900</v>
          </cell>
          <cell r="E160">
            <v>1813400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filterMode="1">
    <tabColor rgb="FFC00000"/>
  </sheetPr>
  <dimension ref="A1:AR208"/>
  <sheetViews>
    <sheetView showZeros="0" tabSelected="1" view="pageBreakPreview" zoomScale="60" zoomScaleNormal="75" workbookViewId="0">
      <pane xSplit="2" ySplit="11" topLeftCell="C36" activePane="bottomRight" state="frozen"/>
      <selection pane="topRight" activeCell="C1" sqref="C1"/>
      <selection pane="bottomLeft" activeCell="A10" sqref="A10"/>
      <selection pane="bottomRight" activeCell="A172" sqref="A172:IV208"/>
    </sheetView>
  </sheetViews>
  <sheetFormatPr defaultColWidth="8.7109375" defaultRowHeight="12.75" x14ac:dyDescent="0.2"/>
  <cols>
    <col min="1" max="1" width="10.85546875" style="91" customWidth="1"/>
    <col min="2" max="2" width="69.28515625" style="91" customWidth="1"/>
    <col min="3" max="3" width="18.85546875" style="91" customWidth="1"/>
    <col min="4" max="4" width="18.7109375" style="91" customWidth="1"/>
    <col min="5" max="5" width="17.140625" style="91" customWidth="1"/>
    <col min="6" max="6" width="17" style="91" customWidth="1"/>
    <col min="7" max="7" width="14.7109375" style="91" hidden="1" customWidth="1"/>
    <col min="8" max="11" width="0" style="91" hidden="1" customWidth="1"/>
    <col min="12" max="12" width="30.140625" style="91" hidden="1" customWidth="1"/>
    <col min="13" max="15" width="0" style="91" hidden="1" customWidth="1"/>
    <col min="16" max="16384" width="8.7109375" style="91"/>
  </cols>
  <sheetData>
    <row r="1" spans="1:44" ht="20.25" customHeight="1" x14ac:dyDescent="0.3">
      <c r="A1" s="89"/>
      <c r="B1" s="89"/>
      <c r="C1" s="89"/>
      <c r="D1" s="90" t="s">
        <v>63</v>
      </c>
      <c r="F1" s="90"/>
      <c r="G1" s="92">
        <v>1</v>
      </c>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row>
    <row r="2" spans="1:44" ht="18" customHeight="1" x14ac:dyDescent="0.3">
      <c r="A2" s="93"/>
      <c r="B2" s="93"/>
      <c r="C2" s="93"/>
      <c r="D2" s="90" t="s">
        <v>274</v>
      </c>
      <c r="F2" s="90"/>
      <c r="G2" s="92">
        <v>1</v>
      </c>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row>
    <row r="3" spans="1:44" ht="18.75" x14ac:dyDescent="0.3">
      <c r="A3" s="93"/>
      <c r="B3" s="93"/>
      <c r="C3" s="93"/>
      <c r="D3" s="502" t="s">
        <v>1417</v>
      </c>
      <c r="E3" s="503"/>
      <c r="F3" s="90"/>
      <c r="G3" s="92">
        <v>1</v>
      </c>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row>
    <row r="4" spans="1:44" ht="20.25" x14ac:dyDescent="0.3">
      <c r="A4" s="1660" t="s">
        <v>1048</v>
      </c>
      <c r="B4" s="1660"/>
      <c r="C4" s="1660"/>
      <c r="D4" s="1660"/>
      <c r="E4" s="1660"/>
      <c r="F4" s="94"/>
      <c r="G4" s="92">
        <v>1</v>
      </c>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row>
    <row r="5" spans="1:44" ht="20.25" hidden="1" x14ac:dyDescent="0.3">
      <c r="A5" s="519"/>
      <c r="B5" s="519"/>
      <c r="C5" s="519"/>
      <c r="D5" s="519"/>
      <c r="E5" s="519"/>
      <c r="F5" s="94"/>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row>
    <row r="6" spans="1:44" ht="20.25" x14ac:dyDescent="0.3">
      <c r="A6" s="519"/>
      <c r="B6" s="522" t="s">
        <v>858</v>
      </c>
      <c r="C6" s="519"/>
      <c r="D6" s="519"/>
      <c r="E6" s="519"/>
      <c r="F6" s="94"/>
      <c r="G6" s="92">
        <v>1</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row>
    <row r="7" spans="1:44" ht="20.25" x14ac:dyDescent="0.3">
      <c r="A7" s="519"/>
      <c r="B7" s="523" t="s">
        <v>856</v>
      </c>
      <c r="C7" s="519"/>
      <c r="D7" s="519"/>
      <c r="E7" s="519"/>
      <c r="F7" s="94"/>
      <c r="G7" s="92">
        <v>1</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row>
    <row r="8" spans="1:44" ht="16.5" x14ac:dyDescent="0.25">
      <c r="A8" s="95" t="s">
        <v>87</v>
      </c>
      <c r="B8" s="96" t="s">
        <v>88</v>
      </c>
      <c r="C8" s="96"/>
      <c r="D8" s="96"/>
      <c r="E8" s="96"/>
      <c r="F8" s="96" t="s">
        <v>737</v>
      </c>
      <c r="G8" s="92">
        <v>1</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row>
    <row r="9" spans="1:44" ht="14.25" customHeight="1" x14ac:dyDescent="0.2">
      <c r="A9" s="1661" t="s">
        <v>124</v>
      </c>
      <c r="B9" s="1659" t="s">
        <v>738</v>
      </c>
      <c r="C9" s="1659" t="s">
        <v>739</v>
      </c>
      <c r="D9" s="1659" t="s">
        <v>53</v>
      </c>
      <c r="E9" s="1659" t="s">
        <v>54</v>
      </c>
      <c r="F9" s="1659"/>
      <c r="G9" s="92">
        <v>1</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row>
    <row r="10" spans="1:44" ht="53.45" customHeight="1" x14ac:dyDescent="0.2">
      <c r="A10" s="1662"/>
      <c r="B10" s="1659"/>
      <c r="C10" s="1659"/>
      <c r="D10" s="1659"/>
      <c r="E10" s="360" t="s">
        <v>739</v>
      </c>
      <c r="F10" s="360" t="s">
        <v>751</v>
      </c>
      <c r="G10" s="92">
        <v>1</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row>
    <row r="11" spans="1:44" ht="13.5" customHeight="1" x14ac:dyDescent="0.25">
      <c r="A11" s="97">
        <v>1</v>
      </c>
      <c r="B11" s="97">
        <v>2</v>
      </c>
      <c r="C11" s="97">
        <v>3</v>
      </c>
      <c r="D11" s="97">
        <v>4</v>
      </c>
      <c r="E11" s="97">
        <v>5</v>
      </c>
      <c r="F11" s="97">
        <v>6</v>
      </c>
      <c r="G11" s="92">
        <v>1</v>
      </c>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row>
    <row r="12" spans="1:44" ht="15.75" x14ac:dyDescent="0.25">
      <c r="A12" s="98">
        <v>10000000</v>
      </c>
      <c r="B12" s="98" t="s">
        <v>72</v>
      </c>
      <c r="C12" s="220">
        <f t="shared" ref="C12:C20" si="0">E12+D12</f>
        <v>1266802400</v>
      </c>
      <c r="D12" s="220">
        <f>SUM(D13+D27+D31+D43)</f>
        <v>1261002400</v>
      </c>
      <c r="E12" s="220">
        <f>SUM(E13+E27+E31+E43)</f>
        <v>5800000</v>
      </c>
      <c r="F12" s="220">
        <f>SUM(F13+F27+F31+F43)</f>
        <v>0</v>
      </c>
      <c r="G12" s="120">
        <f>SUM(C12:F12)</f>
        <v>2533604800</v>
      </c>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row>
    <row r="13" spans="1:44" ht="31.5" x14ac:dyDescent="0.25">
      <c r="A13" s="98">
        <v>11000000</v>
      </c>
      <c r="B13" s="100" t="s">
        <v>73</v>
      </c>
      <c r="C13" s="220">
        <f t="shared" si="0"/>
        <v>1208802400</v>
      </c>
      <c r="D13" s="220">
        <f>SUM(D14+D21)</f>
        <v>1208802400</v>
      </c>
      <c r="E13" s="220"/>
      <c r="F13" s="220">
        <v>0</v>
      </c>
      <c r="G13" s="120">
        <f t="shared" ref="G13:G76" si="1">SUM(C13:F13)</f>
        <v>2417604800</v>
      </c>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row>
    <row r="14" spans="1:44" s="104" customFormat="1" ht="20.25" customHeight="1" x14ac:dyDescent="0.25">
      <c r="A14" s="98">
        <v>11010000</v>
      </c>
      <c r="B14" s="110" t="s">
        <v>74</v>
      </c>
      <c r="C14" s="220">
        <f t="shared" si="0"/>
        <v>1132802400</v>
      </c>
      <c r="D14" s="220">
        <f>SUM(D15:D20)</f>
        <v>1132802400</v>
      </c>
      <c r="E14" s="220">
        <f>SUM(E15:E20)</f>
        <v>0</v>
      </c>
      <c r="F14" s="220">
        <f>SUM(F15:F20)</f>
        <v>0</v>
      </c>
      <c r="G14" s="120">
        <f t="shared" si="1"/>
        <v>2265604800</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row>
    <row r="15" spans="1:44" ht="31.5" x14ac:dyDescent="0.25">
      <c r="A15" s="105">
        <v>11010100</v>
      </c>
      <c r="B15" s="106" t="s">
        <v>46</v>
      </c>
      <c r="C15" s="125">
        <f t="shared" si="0"/>
        <v>939802400</v>
      </c>
      <c r="D15" s="125">
        <f>910125000+29677400</f>
        <v>939802400</v>
      </c>
      <c r="E15" s="220"/>
      <c r="F15" s="220"/>
      <c r="G15" s="120">
        <f t="shared" si="1"/>
        <v>1879604800</v>
      </c>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row>
    <row r="16" spans="1:44" ht="66.75" customHeight="1" x14ac:dyDescent="0.25">
      <c r="A16" s="105">
        <v>11010200</v>
      </c>
      <c r="B16" s="106" t="s">
        <v>255</v>
      </c>
      <c r="C16" s="125">
        <f t="shared" si="0"/>
        <v>125000000</v>
      </c>
      <c r="D16" s="1063">
        <v>125000000</v>
      </c>
      <c r="E16" s="220"/>
      <c r="F16" s="220"/>
      <c r="G16" s="120">
        <f t="shared" si="1"/>
        <v>250000000</v>
      </c>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ht="31.5" x14ac:dyDescent="0.25">
      <c r="A17" s="105">
        <v>11010400</v>
      </c>
      <c r="B17" s="106" t="s">
        <v>256</v>
      </c>
      <c r="C17" s="125">
        <f t="shared" si="0"/>
        <v>57000000</v>
      </c>
      <c r="D17" s="125">
        <f>55000000+2000000</f>
        <v>57000000</v>
      </c>
      <c r="E17" s="220"/>
      <c r="F17" s="220"/>
      <c r="G17" s="120">
        <f t="shared" si="1"/>
        <v>114000000</v>
      </c>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row>
    <row r="18" spans="1:44" ht="31.5" x14ac:dyDescent="0.25">
      <c r="A18" s="105">
        <v>11010500</v>
      </c>
      <c r="B18" s="106" t="s">
        <v>257</v>
      </c>
      <c r="C18" s="125">
        <f t="shared" si="0"/>
        <v>11000000</v>
      </c>
      <c r="D18" s="125">
        <v>11000000</v>
      </c>
      <c r="E18" s="220"/>
      <c r="F18" s="220"/>
      <c r="G18" s="120">
        <f t="shared" si="1"/>
        <v>22000000</v>
      </c>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row>
    <row r="19" spans="1:44" ht="62.25" hidden="1" customHeight="1" x14ac:dyDescent="0.25">
      <c r="A19" s="105">
        <v>11010900</v>
      </c>
      <c r="B19" s="106" t="s">
        <v>160</v>
      </c>
      <c r="C19" s="107">
        <f t="shared" si="0"/>
        <v>0</v>
      </c>
      <c r="D19" s="107"/>
      <c r="E19" s="99"/>
      <c r="F19" s="99"/>
      <c r="G19" s="120">
        <f t="shared" si="1"/>
        <v>0</v>
      </c>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row>
    <row r="20" spans="1:44" ht="31.5" hidden="1" x14ac:dyDescent="0.25">
      <c r="A20" s="105">
        <v>11011600</v>
      </c>
      <c r="B20" s="106" t="s">
        <v>6</v>
      </c>
      <c r="C20" s="107">
        <f t="shared" si="0"/>
        <v>0</v>
      </c>
      <c r="D20" s="107"/>
      <c r="E20" s="99"/>
      <c r="F20" s="99"/>
      <c r="G20" s="120">
        <f t="shared" si="1"/>
        <v>0</v>
      </c>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row>
    <row r="21" spans="1:44" s="104" customFormat="1" ht="18.75" customHeight="1" x14ac:dyDescent="0.25">
      <c r="A21" s="98">
        <v>11020000</v>
      </c>
      <c r="B21" s="100" t="s">
        <v>7</v>
      </c>
      <c r="C21" s="220">
        <f>SUM(C22:C25)</f>
        <v>76000000</v>
      </c>
      <c r="D21" s="220">
        <f>SUM(D22:D25)</f>
        <v>76000000</v>
      </c>
      <c r="E21" s="220">
        <f>SUM(E22:E25)</f>
        <v>0</v>
      </c>
      <c r="F21" s="220">
        <f>SUM(F22:F25)</f>
        <v>0</v>
      </c>
      <c r="G21" s="120">
        <f t="shared" si="1"/>
        <v>152000000</v>
      </c>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4" ht="31.5" x14ac:dyDescent="0.25">
      <c r="A22" s="97">
        <v>11020200</v>
      </c>
      <c r="B22" s="109" t="s">
        <v>169</v>
      </c>
      <c r="C22" s="125">
        <f>E22+D22</f>
        <v>7000000</v>
      </c>
      <c r="D22" s="125">
        <f>5000000+2000000</f>
        <v>7000000</v>
      </c>
      <c r="E22" s="125"/>
      <c r="F22" s="125"/>
      <c r="G22" s="120">
        <f t="shared" si="1"/>
        <v>14000000</v>
      </c>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row>
    <row r="23" spans="1:44" ht="15.75" x14ac:dyDescent="0.25">
      <c r="A23" s="97">
        <v>11021000</v>
      </c>
      <c r="B23" s="485" t="s">
        <v>2312</v>
      </c>
      <c r="C23" s="125">
        <f>E23+D23</f>
        <v>69000000</v>
      </c>
      <c r="D23" s="125">
        <v>69000000</v>
      </c>
      <c r="E23" s="125"/>
      <c r="F23" s="125"/>
      <c r="G23" s="120">
        <f t="shared" si="1"/>
        <v>138000000</v>
      </c>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row>
    <row r="24" spans="1:44" ht="31.5" hidden="1" x14ac:dyDescent="0.25">
      <c r="A24" s="97">
        <v>11023200</v>
      </c>
      <c r="B24" s="109" t="s">
        <v>170</v>
      </c>
      <c r="C24" s="107">
        <f>E24+D24</f>
        <v>0</v>
      </c>
      <c r="D24" s="107"/>
      <c r="E24" s="107"/>
      <c r="F24" s="107"/>
      <c r="G24" s="120">
        <f t="shared" si="1"/>
        <v>0</v>
      </c>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row>
    <row r="25" spans="1:44" ht="15.75" hidden="1" x14ac:dyDescent="0.25">
      <c r="A25" s="97">
        <v>11024000</v>
      </c>
      <c r="B25" s="109" t="s">
        <v>153</v>
      </c>
      <c r="C25" s="107">
        <f>E25+D25</f>
        <v>0</v>
      </c>
      <c r="D25" s="107"/>
      <c r="E25" s="107"/>
      <c r="F25" s="107"/>
      <c r="G25" s="120">
        <f t="shared" si="1"/>
        <v>0</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row>
    <row r="26" spans="1:44" ht="15.75" hidden="1" x14ac:dyDescent="0.25">
      <c r="A26" s="97"/>
      <c r="B26" s="109"/>
      <c r="C26" s="107"/>
      <c r="D26" s="107"/>
      <c r="E26" s="107"/>
      <c r="F26" s="107"/>
      <c r="G26" s="120">
        <f t="shared" si="1"/>
        <v>0</v>
      </c>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row>
    <row r="27" spans="1:44" ht="18" hidden="1" customHeight="1" x14ac:dyDescent="0.25">
      <c r="A27" s="98">
        <v>12000000</v>
      </c>
      <c r="B27" s="110" t="s">
        <v>154</v>
      </c>
      <c r="C27" s="99">
        <f t="shared" ref="C27:C33" si="2">E27+D27</f>
        <v>0</v>
      </c>
      <c r="D27" s="99"/>
      <c r="E27" s="99">
        <f>+E28</f>
        <v>0</v>
      </c>
      <c r="F27" s="99">
        <f>+F28</f>
        <v>0</v>
      </c>
      <c r="G27" s="120">
        <f t="shared" si="1"/>
        <v>0</v>
      </c>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row>
    <row r="28" spans="1:44" s="112" customFormat="1" ht="15.75" hidden="1" x14ac:dyDescent="0.25">
      <c r="A28" s="101">
        <v>12030000</v>
      </c>
      <c r="B28" s="108" t="s">
        <v>90</v>
      </c>
      <c r="C28" s="102">
        <f t="shared" si="2"/>
        <v>0</v>
      </c>
      <c r="D28" s="102"/>
      <c r="E28" s="102">
        <f>SUM(E29:E30)</f>
        <v>0</v>
      </c>
      <c r="F28" s="102"/>
      <c r="G28" s="120">
        <f t="shared" si="1"/>
        <v>0</v>
      </c>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row>
    <row r="29" spans="1:44" ht="31.5" hidden="1" x14ac:dyDescent="0.25">
      <c r="A29" s="97">
        <v>12030100</v>
      </c>
      <c r="B29" s="106" t="s">
        <v>91</v>
      </c>
      <c r="C29" s="107">
        <f t="shared" si="2"/>
        <v>0</v>
      </c>
      <c r="D29" s="107"/>
      <c r="E29" s="107"/>
      <c r="F29" s="107"/>
      <c r="G29" s="120">
        <f t="shared" si="1"/>
        <v>0</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row>
    <row r="30" spans="1:44" ht="31.5" hidden="1" x14ac:dyDescent="0.25">
      <c r="A30" s="97">
        <v>12030200</v>
      </c>
      <c r="B30" s="106" t="s">
        <v>92</v>
      </c>
      <c r="C30" s="107">
        <f t="shared" si="2"/>
        <v>0</v>
      </c>
      <c r="D30" s="107"/>
      <c r="E30" s="107"/>
      <c r="F30" s="107"/>
      <c r="G30" s="120">
        <f t="shared" si="1"/>
        <v>0</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row>
    <row r="31" spans="1:44" ht="31.5" x14ac:dyDescent="0.25">
      <c r="A31" s="98">
        <v>13000000</v>
      </c>
      <c r="B31" s="100" t="s">
        <v>93</v>
      </c>
      <c r="C31" s="220">
        <f t="shared" si="2"/>
        <v>52200000</v>
      </c>
      <c r="D31" s="220">
        <f>+D38+D34+D32+D41</f>
        <v>52200000</v>
      </c>
      <c r="E31" s="220">
        <f>+E38+E34+E32</f>
        <v>0</v>
      </c>
      <c r="F31" s="220">
        <f>+F38+F34+F32</f>
        <v>0</v>
      </c>
      <c r="G31" s="120">
        <f t="shared" si="1"/>
        <v>104400000</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row>
    <row r="32" spans="1:44" s="112" customFormat="1" ht="15.75" hidden="1" x14ac:dyDescent="0.25">
      <c r="A32" s="101">
        <v>13010000</v>
      </c>
      <c r="B32" s="108" t="s">
        <v>94</v>
      </c>
      <c r="C32" s="102">
        <f t="shared" si="2"/>
        <v>0</v>
      </c>
      <c r="D32" s="102">
        <f>D33</f>
        <v>0</v>
      </c>
      <c r="E32" s="102">
        <f>E33</f>
        <v>0</v>
      </c>
      <c r="F32" s="102">
        <f>F33</f>
        <v>0</v>
      </c>
      <c r="G32" s="120">
        <f t="shared" si="1"/>
        <v>0</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row>
    <row r="33" spans="1:44" ht="31.5" hidden="1" x14ac:dyDescent="0.25">
      <c r="A33" s="97">
        <v>13010100</v>
      </c>
      <c r="B33" s="109" t="s">
        <v>95</v>
      </c>
      <c r="C33" s="107">
        <f t="shared" si="2"/>
        <v>0</v>
      </c>
      <c r="D33" s="107"/>
      <c r="E33" s="107"/>
      <c r="F33" s="107"/>
      <c r="G33" s="120">
        <f t="shared" si="1"/>
        <v>0</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row>
    <row r="34" spans="1:44" s="112" customFormat="1" ht="15.75" x14ac:dyDescent="0.25">
      <c r="A34" s="98">
        <v>13020000</v>
      </c>
      <c r="B34" s="100" t="s">
        <v>96</v>
      </c>
      <c r="C34" s="220">
        <f>+C35+C36+C37</f>
        <v>9700000</v>
      </c>
      <c r="D34" s="220">
        <f>+D35+D36+D37</f>
        <v>9700000</v>
      </c>
      <c r="E34" s="220">
        <f>+E35+E36+E37</f>
        <v>0</v>
      </c>
      <c r="F34" s="220">
        <f>+F35+F36+F37</f>
        <v>0</v>
      </c>
      <c r="G34" s="120">
        <f t="shared" si="1"/>
        <v>19400000</v>
      </c>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row>
    <row r="35" spans="1:44" ht="33.75" customHeight="1" x14ac:dyDescent="0.25">
      <c r="A35" s="97">
        <v>13020100</v>
      </c>
      <c r="B35" s="109" t="s">
        <v>916</v>
      </c>
      <c r="C35" s="125">
        <f t="shared" ref="C35:C40" si="3">E35+D35</f>
        <v>7900000</v>
      </c>
      <c r="D35" s="125">
        <v>7900000</v>
      </c>
      <c r="E35" s="125"/>
      <c r="F35" s="125"/>
      <c r="G35" s="120">
        <f t="shared" si="1"/>
        <v>15800000</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row>
    <row r="36" spans="1:44" ht="31.5" x14ac:dyDescent="0.25">
      <c r="A36" s="97">
        <v>13020300</v>
      </c>
      <c r="B36" s="109" t="s">
        <v>38</v>
      </c>
      <c r="C36" s="125">
        <f t="shared" si="3"/>
        <v>200000</v>
      </c>
      <c r="D36" s="125">
        <v>200000</v>
      </c>
      <c r="E36" s="125"/>
      <c r="F36" s="125"/>
      <c r="G36" s="120">
        <f t="shared" si="1"/>
        <v>400000</v>
      </c>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row>
    <row r="37" spans="1:44" ht="31.5" x14ac:dyDescent="0.25">
      <c r="A37" s="97">
        <v>13020400</v>
      </c>
      <c r="B37" s="109" t="s">
        <v>268</v>
      </c>
      <c r="C37" s="125">
        <f t="shared" si="3"/>
        <v>1600000</v>
      </c>
      <c r="D37" s="125">
        <v>1600000</v>
      </c>
      <c r="E37" s="125"/>
      <c r="F37" s="125"/>
      <c r="G37" s="120">
        <f t="shared" si="1"/>
        <v>3200000</v>
      </c>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row>
    <row r="38" spans="1:44" s="112" customFormat="1" ht="31.5" x14ac:dyDescent="0.25">
      <c r="A38" s="98">
        <v>13030000</v>
      </c>
      <c r="B38" s="113" t="s">
        <v>2308</v>
      </c>
      <c r="C38" s="220">
        <f t="shared" si="3"/>
        <v>42500000</v>
      </c>
      <c r="D38" s="220">
        <f>D39+D40</f>
        <v>42500000</v>
      </c>
      <c r="E38" s="220">
        <f>E39+E40</f>
        <v>0</v>
      </c>
      <c r="F38" s="220">
        <f>F39+F40</f>
        <v>0</v>
      </c>
      <c r="G38" s="120">
        <f t="shared" si="1"/>
        <v>85000000</v>
      </c>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row>
    <row r="39" spans="1:44" ht="31.5" x14ac:dyDescent="0.25">
      <c r="A39" s="97">
        <v>13030100</v>
      </c>
      <c r="B39" s="485" t="s">
        <v>2307</v>
      </c>
      <c r="C39" s="125">
        <f t="shared" si="3"/>
        <v>42500000</v>
      </c>
      <c r="D39" s="125">
        <f>37500000+5000000</f>
        <v>42500000</v>
      </c>
      <c r="E39" s="125"/>
      <c r="F39" s="125"/>
      <c r="G39" s="120">
        <f t="shared" si="1"/>
        <v>85000000</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row>
    <row r="40" spans="1:44" ht="31.5" hidden="1" x14ac:dyDescent="0.25">
      <c r="A40" s="97">
        <v>13030200</v>
      </c>
      <c r="B40" s="106" t="s">
        <v>35</v>
      </c>
      <c r="C40" s="107">
        <f t="shared" si="3"/>
        <v>0</v>
      </c>
      <c r="D40" s="107"/>
      <c r="E40" s="99"/>
      <c r="F40" s="99"/>
      <c r="G40" s="120">
        <f t="shared" si="1"/>
        <v>0</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row>
    <row r="41" spans="1:44" s="112" customFormat="1" ht="15.75" hidden="1" x14ac:dyDescent="0.25">
      <c r="A41" s="101">
        <v>13070000</v>
      </c>
      <c r="B41" s="108" t="s">
        <v>163</v>
      </c>
      <c r="C41" s="102">
        <f>C42</f>
        <v>0</v>
      </c>
      <c r="D41" s="102">
        <f>D42</f>
        <v>0</v>
      </c>
      <c r="E41" s="102"/>
      <c r="F41" s="102"/>
      <c r="G41" s="120">
        <f t="shared" si="1"/>
        <v>0</v>
      </c>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row>
    <row r="42" spans="1:44" ht="15.75" hidden="1" x14ac:dyDescent="0.25">
      <c r="A42" s="97">
        <v>13070100</v>
      </c>
      <c r="B42" s="106" t="s">
        <v>917</v>
      </c>
      <c r="C42" s="107">
        <f>E42+D42</f>
        <v>0</v>
      </c>
      <c r="D42" s="107"/>
      <c r="E42" s="99"/>
      <c r="F42" s="99"/>
      <c r="G42" s="120">
        <f t="shared" si="1"/>
        <v>0</v>
      </c>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row>
    <row r="43" spans="1:44" s="115" customFormat="1" ht="15.75" x14ac:dyDescent="0.25">
      <c r="A43" s="98">
        <v>19000000</v>
      </c>
      <c r="B43" s="113" t="s">
        <v>36</v>
      </c>
      <c r="C43" s="220">
        <f>C44+C49</f>
        <v>5800000</v>
      </c>
      <c r="D43" s="220">
        <f>D44+D49</f>
        <v>0</v>
      </c>
      <c r="E43" s="220">
        <f>E44+E49</f>
        <v>5800000</v>
      </c>
      <c r="F43" s="220">
        <f>F44</f>
        <v>0</v>
      </c>
      <c r="G43" s="120">
        <f t="shared" si="1"/>
        <v>11600000</v>
      </c>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row>
    <row r="44" spans="1:44" s="112" customFormat="1" ht="15.75" x14ac:dyDescent="0.25">
      <c r="A44" s="98">
        <v>19010000</v>
      </c>
      <c r="B44" s="113" t="s">
        <v>37</v>
      </c>
      <c r="C44" s="220">
        <f t="shared" ref="C44:C75" si="4">E44+D44</f>
        <v>5800000</v>
      </c>
      <c r="D44" s="220">
        <f>SUM(D45:D48)</f>
        <v>0</v>
      </c>
      <c r="E44" s="220">
        <f>SUM(E45:E48)</f>
        <v>5800000</v>
      </c>
      <c r="F44" s="220">
        <f>SUM(F45:F48)</f>
        <v>0</v>
      </c>
      <c r="G44" s="120">
        <f t="shared" si="1"/>
        <v>11600000</v>
      </c>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row>
    <row r="45" spans="1:44" ht="58.15" customHeight="1" x14ac:dyDescent="0.25">
      <c r="A45" s="97">
        <v>19010100</v>
      </c>
      <c r="B45" s="106" t="s">
        <v>801</v>
      </c>
      <c r="C45" s="125">
        <f t="shared" si="4"/>
        <v>3350000</v>
      </c>
      <c r="D45" s="125"/>
      <c r="E45" s="125">
        <v>3350000</v>
      </c>
      <c r="F45" s="220"/>
      <c r="G45" s="120">
        <f t="shared" si="1"/>
        <v>6700000</v>
      </c>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row>
    <row r="46" spans="1:44" ht="31.5" x14ac:dyDescent="0.25">
      <c r="A46" s="97">
        <v>19010200</v>
      </c>
      <c r="B46" s="106" t="s">
        <v>918</v>
      </c>
      <c r="C46" s="125">
        <f t="shared" si="4"/>
        <v>850000</v>
      </c>
      <c r="D46" s="125"/>
      <c r="E46" s="125">
        <v>850000</v>
      </c>
      <c r="F46" s="220"/>
      <c r="G46" s="120">
        <f t="shared" si="1"/>
        <v>1700000</v>
      </c>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row>
    <row r="47" spans="1:44" ht="47.25" x14ac:dyDescent="0.25">
      <c r="A47" s="97">
        <v>19010300</v>
      </c>
      <c r="B47" s="106" t="s">
        <v>919</v>
      </c>
      <c r="C47" s="125">
        <f t="shared" si="4"/>
        <v>1600000</v>
      </c>
      <c r="D47" s="125"/>
      <c r="E47" s="125">
        <v>1600000</v>
      </c>
      <c r="F47" s="220"/>
      <c r="G47" s="120">
        <f t="shared" si="1"/>
        <v>3200000</v>
      </c>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row>
    <row r="48" spans="1:44" ht="31.5" hidden="1" x14ac:dyDescent="0.25">
      <c r="A48" s="97">
        <v>19010600</v>
      </c>
      <c r="B48" s="106" t="s">
        <v>149</v>
      </c>
      <c r="C48" s="107">
        <f t="shared" si="4"/>
        <v>0</v>
      </c>
      <c r="D48" s="107"/>
      <c r="E48" s="107"/>
      <c r="F48" s="99"/>
      <c r="G48" s="120">
        <f t="shared" si="1"/>
        <v>0</v>
      </c>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row>
    <row r="49" spans="1:44" ht="47.25" hidden="1" x14ac:dyDescent="0.25">
      <c r="A49" s="101">
        <v>19020000</v>
      </c>
      <c r="B49" s="116" t="s">
        <v>184</v>
      </c>
      <c r="C49" s="102">
        <f>C50</f>
        <v>0</v>
      </c>
      <c r="D49" s="102">
        <f>D50</f>
        <v>0</v>
      </c>
      <c r="E49" s="102">
        <f>E50</f>
        <v>0</v>
      </c>
      <c r="F49" s="102">
        <f>F50</f>
        <v>0</v>
      </c>
      <c r="G49" s="120">
        <f t="shared" si="1"/>
        <v>0</v>
      </c>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row>
    <row r="50" spans="1:44" ht="15.75" hidden="1" x14ac:dyDescent="0.25">
      <c r="A50" s="223">
        <v>19020200</v>
      </c>
      <c r="B50" s="224" t="s">
        <v>185</v>
      </c>
      <c r="C50" s="102">
        <f>E50+D50</f>
        <v>0</v>
      </c>
      <c r="D50" s="107"/>
      <c r="E50" s="107"/>
      <c r="F50" s="99"/>
      <c r="G50" s="120">
        <f t="shared" si="1"/>
        <v>0</v>
      </c>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row>
    <row r="51" spans="1:44" ht="15.75" x14ac:dyDescent="0.25">
      <c r="A51" s="98">
        <v>20000000</v>
      </c>
      <c r="B51" s="117" t="s">
        <v>150</v>
      </c>
      <c r="C51" s="220">
        <f>E51+D51</f>
        <v>252734096</v>
      </c>
      <c r="D51" s="220">
        <f>SUM(D52+D57+D76)+D81</f>
        <v>57221400</v>
      </c>
      <c r="E51" s="220">
        <f>SUM(E52+E57+E76)+E81</f>
        <v>195512696</v>
      </c>
      <c r="F51" s="220">
        <f>SUM(F52+F57+F76)+F81</f>
        <v>0</v>
      </c>
      <c r="G51" s="120">
        <f t="shared" si="1"/>
        <v>505468192</v>
      </c>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row>
    <row r="52" spans="1:44" s="115" customFormat="1" ht="15.75" x14ac:dyDescent="0.25">
      <c r="A52" s="98">
        <v>21000000</v>
      </c>
      <c r="B52" s="117" t="s">
        <v>151</v>
      </c>
      <c r="C52" s="220">
        <f t="shared" si="4"/>
        <v>21508400</v>
      </c>
      <c r="D52" s="220">
        <f>+D53+D56+D55</f>
        <v>20700000</v>
      </c>
      <c r="E52" s="220">
        <f>+E53+E56</f>
        <v>808400</v>
      </c>
      <c r="F52" s="220">
        <f>+F53+F56</f>
        <v>0</v>
      </c>
      <c r="G52" s="120">
        <f t="shared" si="1"/>
        <v>43016800</v>
      </c>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row>
    <row r="53" spans="1:44" s="112" customFormat="1" ht="86.25" customHeight="1" x14ac:dyDescent="0.25">
      <c r="A53" s="98">
        <v>21010000</v>
      </c>
      <c r="B53" s="113" t="s">
        <v>800</v>
      </c>
      <c r="C53" s="220">
        <f t="shared" si="4"/>
        <v>13200000</v>
      </c>
      <c r="D53" s="220">
        <f>D54</f>
        <v>13200000</v>
      </c>
      <c r="E53" s="220"/>
      <c r="F53" s="220"/>
      <c r="G53" s="120">
        <f t="shared" si="1"/>
        <v>26400000</v>
      </c>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row>
    <row r="54" spans="1:44" ht="47.25" x14ac:dyDescent="0.25">
      <c r="A54" s="109">
        <v>21010300</v>
      </c>
      <c r="B54" s="118" t="s">
        <v>920</v>
      </c>
      <c r="C54" s="125">
        <f t="shared" si="4"/>
        <v>13200000</v>
      </c>
      <c r="D54" s="125">
        <f>6100000+7100000</f>
        <v>13200000</v>
      </c>
      <c r="E54" s="220"/>
      <c r="F54" s="220"/>
      <c r="G54" s="120">
        <f t="shared" si="1"/>
        <v>26400000</v>
      </c>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row>
    <row r="55" spans="1:44" ht="31.5" x14ac:dyDescent="0.25">
      <c r="A55" s="98">
        <v>21050000</v>
      </c>
      <c r="B55" s="1064" t="s">
        <v>152</v>
      </c>
      <c r="C55" s="220">
        <f t="shared" si="4"/>
        <v>7500000</v>
      </c>
      <c r="D55" s="220">
        <f>5000000+2500000</f>
        <v>7500000</v>
      </c>
      <c r="E55" s="220"/>
      <c r="F55" s="220"/>
      <c r="G55" s="120">
        <f t="shared" si="1"/>
        <v>15000000</v>
      </c>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row>
    <row r="56" spans="1:44" s="112" customFormat="1" ht="30" customHeight="1" x14ac:dyDescent="0.25">
      <c r="A56" s="98">
        <v>21110000</v>
      </c>
      <c r="B56" s="100" t="s">
        <v>197</v>
      </c>
      <c r="C56" s="220">
        <f t="shared" si="4"/>
        <v>808400</v>
      </c>
      <c r="D56" s="220"/>
      <c r="E56" s="220">
        <v>808400</v>
      </c>
      <c r="F56" s="220"/>
      <c r="G56" s="120">
        <f t="shared" si="1"/>
        <v>1616800</v>
      </c>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row>
    <row r="57" spans="1:44" s="115" customFormat="1" ht="29.25" customHeight="1" x14ac:dyDescent="0.25">
      <c r="A57" s="98">
        <v>22000000</v>
      </c>
      <c r="B57" s="100" t="s">
        <v>229</v>
      </c>
      <c r="C57" s="220">
        <f t="shared" si="4"/>
        <v>35701400</v>
      </c>
      <c r="D57" s="220">
        <f>+D72+D74+D58+D75</f>
        <v>35701400</v>
      </c>
      <c r="E57" s="220">
        <f>+E72+E74+E58</f>
        <v>0</v>
      </c>
      <c r="F57" s="220">
        <f>+F72+F74+F58</f>
        <v>0</v>
      </c>
      <c r="G57" s="120">
        <f t="shared" si="1"/>
        <v>71402800</v>
      </c>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row>
    <row r="58" spans="1:44" s="112" customFormat="1" ht="15.75" x14ac:dyDescent="0.25">
      <c r="A58" s="98">
        <v>22010000</v>
      </c>
      <c r="B58" s="100" t="s">
        <v>230</v>
      </c>
      <c r="C58" s="220">
        <f>E58+D58</f>
        <v>28711700</v>
      </c>
      <c r="D58" s="220">
        <f>SUM(D59:D70)</f>
        <v>28711700</v>
      </c>
      <c r="E58" s="220">
        <f>SUM(E59:E70)</f>
        <v>0</v>
      </c>
      <c r="F58" s="220">
        <f>SUM(F59:F70)</f>
        <v>0</v>
      </c>
      <c r="G58" s="120">
        <f t="shared" si="1"/>
        <v>57423400</v>
      </c>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row>
    <row r="59" spans="1:44" s="112" customFormat="1" ht="61.5" hidden="1" customHeight="1" x14ac:dyDescent="0.25">
      <c r="A59" s="314">
        <v>22010200</v>
      </c>
      <c r="B59" s="109" t="s">
        <v>271</v>
      </c>
      <c r="C59" s="107">
        <f t="shared" si="4"/>
        <v>0</v>
      </c>
      <c r="D59" s="107"/>
      <c r="E59" s="102"/>
      <c r="F59" s="102"/>
      <c r="G59" s="120">
        <f t="shared" si="1"/>
        <v>0</v>
      </c>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row>
    <row r="60" spans="1:44" ht="63" x14ac:dyDescent="0.25">
      <c r="A60" s="97">
        <v>22010500</v>
      </c>
      <c r="B60" s="109" t="s">
        <v>2309</v>
      </c>
      <c r="C60" s="125">
        <f t="shared" si="4"/>
        <v>3900</v>
      </c>
      <c r="D60" s="125">
        <v>3900</v>
      </c>
      <c r="E60" s="220"/>
      <c r="F60" s="220"/>
      <c r="G60" s="120">
        <f t="shared" si="1"/>
        <v>7800</v>
      </c>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row>
    <row r="61" spans="1:44" ht="46.9" customHeight="1" x14ac:dyDescent="0.25">
      <c r="A61" s="97">
        <v>22010600</v>
      </c>
      <c r="B61" s="485" t="s">
        <v>2310</v>
      </c>
      <c r="C61" s="125">
        <f t="shared" si="4"/>
        <v>500000</v>
      </c>
      <c r="D61" s="125">
        <v>500000</v>
      </c>
      <c r="E61" s="220"/>
      <c r="F61" s="220"/>
      <c r="G61" s="120">
        <f t="shared" si="1"/>
        <v>1000000</v>
      </c>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row>
    <row r="62" spans="1:44" ht="29.25" hidden="1" customHeight="1" x14ac:dyDescent="0.25">
      <c r="A62" s="97">
        <v>22010700</v>
      </c>
      <c r="B62" s="109" t="s">
        <v>235</v>
      </c>
      <c r="C62" s="107">
        <f t="shared" si="4"/>
        <v>0</v>
      </c>
      <c r="D62" s="107">
        <f>2340-2340</f>
        <v>0</v>
      </c>
      <c r="E62" s="107"/>
      <c r="F62" s="107"/>
      <c r="G62" s="120">
        <f t="shared" si="1"/>
        <v>0</v>
      </c>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row>
    <row r="63" spans="1:44" ht="47.25" hidden="1" x14ac:dyDescent="0.25">
      <c r="A63" s="97">
        <v>22010900</v>
      </c>
      <c r="B63" s="109" t="s">
        <v>242</v>
      </c>
      <c r="C63" s="107">
        <f t="shared" si="4"/>
        <v>0</v>
      </c>
      <c r="D63" s="107"/>
      <c r="E63" s="107"/>
      <c r="F63" s="107"/>
      <c r="G63" s="120">
        <f t="shared" si="1"/>
        <v>0</v>
      </c>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row>
    <row r="64" spans="1:44" ht="57.6" customHeight="1" x14ac:dyDescent="0.25">
      <c r="A64" s="97">
        <v>22011000</v>
      </c>
      <c r="B64" s="485" t="s">
        <v>2311</v>
      </c>
      <c r="C64" s="125">
        <f t="shared" si="4"/>
        <v>6539000</v>
      </c>
      <c r="D64" s="125">
        <v>6539000</v>
      </c>
      <c r="E64" s="125"/>
      <c r="F64" s="125"/>
      <c r="G64" s="120">
        <f t="shared" si="1"/>
        <v>13078000</v>
      </c>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row>
    <row r="65" spans="1:44" ht="47.25" x14ac:dyDescent="0.25">
      <c r="A65" s="97">
        <v>22011100</v>
      </c>
      <c r="B65" s="485" t="s">
        <v>2313</v>
      </c>
      <c r="C65" s="125">
        <f t="shared" si="4"/>
        <v>19150000</v>
      </c>
      <c r="D65" s="125">
        <v>19150000</v>
      </c>
      <c r="E65" s="125"/>
      <c r="F65" s="125"/>
      <c r="G65" s="120">
        <f t="shared" si="1"/>
        <v>38300000</v>
      </c>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row>
    <row r="66" spans="1:44" ht="29.25" customHeight="1" x14ac:dyDescent="0.25">
      <c r="A66" s="97">
        <v>22011800</v>
      </c>
      <c r="B66" s="109" t="s">
        <v>64</v>
      </c>
      <c r="C66" s="125">
        <f t="shared" si="4"/>
        <v>450020</v>
      </c>
      <c r="D66" s="125">
        <f>600020-150000</f>
        <v>450020</v>
      </c>
      <c r="E66" s="125"/>
      <c r="F66" s="125"/>
      <c r="G66" s="120">
        <f t="shared" si="1"/>
        <v>900040</v>
      </c>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row>
    <row r="67" spans="1:44" ht="29.25" customHeight="1" x14ac:dyDescent="0.25">
      <c r="A67" s="97">
        <v>22013100</v>
      </c>
      <c r="B67" s="109" t="s">
        <v>1033</v>
      </c>
      <c r="C67" s="125">
        <f t="shared" si="4"/>
        <v>780</v>
      </c>
      <c r="D67" s="125">
        <v>780</v>
      </c>
      <c r="E67" s="125"/>
      <c r="F67" s="125"/>
      <c r="G67" s="120">
        <f t="shared" si="1"/>
        <v>1560</v>
      </c>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row>
    <row r="68" spans="1:44" ht="29.25" customHeight="1" x14ac:dyDescent="0.25">
      <c r="A68" s="97">
        <v>22013200</v>
      </c>
      <c r="B68" s="109" t="s">
        <v>1034</v>
      </c>
      <c r="C68" s="125">
        <f t="shared" si="4"/>
        <v>560000</v>
      </c>
      <c r="D68" s="125">
        <v>560000</v>
      </c>
      <c r="E68" s="125"/>
      <c r="F68" s="125"/>
      <c r="G68" s="120">
        <f t="shared" si="1"/>
        <v>1120000</v>
      </c>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row>
    <row r="69" spans="1:44" ht="29.25" customHeight="1" x14ac:dyDescent="0.25">
      <c r="A69" s="97">
        <v>22013300</v>
      </c>
      <c r="B69" s="109" t="s">
        <v>1035</v>
      </c>
      <c r="C69" s="125">
        <f t="shared" si="4"/>
        <v>652000</v>
      </c>
      <c r="D69" s="125">
        <f>532000+120000</f>
        <v>652000</v>
      </c>
      <c r="E69" s="125"/>
      <c r="F69" s="125"/>
      <c r="G69" s="120">
        <f t="shared" si="1"/>
        <v>1304000</v>
      </c>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row>
    <row r="70" spans="1:44" ht="29.25" customHeight="1" x14ac:dyDescent="0.25">
      <c r="A70" s="97">
        <v>22013400</v>
      </c>
      <c r="B70" s="109" t="s">
        <v>1036</v>
      </c>
      <c r="C70" s="125">
        <f t="shared" si="4"/>
        <v>856000</v>
      </c>
      <c r="D70" s="125">
        <f>716000+140000</f>
        <v>856000</v>
      </c>
      <c r="E70" s="125"/>
      <c r="F70" s="125"/>
      <c r="G70" s="120">
        <f t="shared" si="1"/>
        <v>1712000</v>
      </c>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row>
    <row r="71" spans="1:44" ht="29.25" hidden="1" customHeight="1" x14ac:dyDescent="0.25">
      <c r="A71" s="97"/>
      <c r="B71" s="109"/>
      <c r="C71" s="107"/>
      <c r="D71" s="107"/>
      <c r="E71" s="107"/>
      <c r="F71" s="107"/>
      <c r="G71" s="120">
        <f t="shared" si="1"/>
        <v>0</v>
      </c>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row>
    <row r="72" spans="1:44" s="112" customFormat="1" ht="36" customHeight="1" x14ac:dyDescent="0.25">
      <c r="A72" s="98">
        <v>22080000</v>
      </c>
      <c r="B72" s="100" t="s">
        <v>198</v>
      </c>
      <c r="C72" s="220">
        <f t="shared" si="4"/>
        <v>6700000</v>
      </c>
      <c r="D72" s="220">
        <f>D73</f>
        <v>6700000</v>
      </c>
      <c r="E72" s="220"/>
      <c r="F72" s="220"/>
      <c r="G72" s="120">
        <f t="shared" si="1"/>
        <v>13400000</v>
      </c>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row>
    <row r="73" spans="1:44" ht="33" customHeight="1" x14ac:dyDescent="0.25">
      <c r="A73" s="97">
        <v>22080400</v>
      </c>
      <c r="B73" s="109" t="s">
        <v>1427</v>
      </c>
      <c r="C73" s="125">
        <f t="shared" si="4"/>
        <v>6700000</v>
      </c>
      <c r="D73" s="125">
        <v>6700000</v>
      </c>
      <c r="E73" s="125"/>
      <c r="F73" s="125"/>
      <c r="G73" s="120">
        <f t="shared" si="1"/>
        <v>13400000</v>
      </c>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row>
    <row r="74" spans="1:44" s="112" customFormat="1" ht="31.5" hidden="1" x14ac:dyDescent="0.25">
      <c r="A74" s="101">
        <v>22120000</v>
      </c>
      <c r="B74" s="108" t="s">
        <v>181</v>
      </c>
      <c r="C74" s="102">
        <f t="shared" si="4"/>
        <v>0</v>
      </c>
      <c r="D74" s="102"/>
      <c r="E74" s="102"/>
      <c r="F74" s="102"/>
      <c r="G74" s="120">
        <f t="shared" si="1"/>
        <v>0</v>
      </c>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row>
    <row r="75" spans="1:44" s="112" customFormat="1" ht="78.75" x14ac:dyDescent="0.25">
      <c r="A75" s="98">
        <v>22130000</v>
      </c>
      <c r="B75" s="100" t="s">
        <v>921</v>
      </c>
      <c r="C75" s="220">
        <f t="shared" si="4"/>
        <v>289700</v>
      </c>
      <c r="D75" s="220">
        <v>289700</v>
      </c>
      <c r="E75" s="220"/>
      <c r="F75" s="220"/>
      <c r="G75" s="120">
        <f t="shared" si="1"/>
        <v>579400</v>
      </c>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row>
    <row r="76" spans="1:44" s="115" customFormat="1" ht="15.75" x14ac:dyDescent="0.25">
      <c r="A76" s="98">
        <v>24000000</v>
      </c>
      <c r="B76" s="100" t="s">
        <v>182</v>
      </c>
      <c r="C76" s="220">
        <f>+C77</f>
        <v>820000</v>
      </c>
      <c r="D76" s="220">
        <f>+D77</f>
        <v>820000</v>
      </c>
      <c r="E76" s="220">
        <f>+E77</f>
        <v>0</v>
      </c>
      <c r="F76" s="220">
        <f>+F77</f>
        <v>0</v>
      </c>
      <c r="G76" s="120">
        <f t="shared" si="1"/>
        <v>1640000</v>
      </c>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row>
    <row r="77" spans="1:44" s="112" customFormat="1" ht="16.5" customHeight="1" x14ac:dyDescent="0.25">
      <c r="A77" s="98">
        <v>24060000</v>
      </c>
      <c r="B77" s="100" t="s">
        <v>183</v>
      </c>
      <c r="C77" s="220">
        <f t="shared" ref="C77:C91" si="5">E77+D77</f>
        <v>820000</v>
      </c>
      <c r="D77" s="220">
        <f>+D78+D80+D79</f>
        <v>820000</v>
      </c>
      <c r="E77" s="220">
        <f>+E78+E80</f>
        <v>0</v>
      </c>
      <c r="F77" s="220">
        <f>+F78+F80</f>
        <v>0</v>
      </c>
      <c r="G77" s="120">
        <f t="shared" ref="G77:G140" si="6">SUM(C77:F77)</f>
        <v>1640000</v>
      </c>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row>
    <row r="78" spans="1:44" ht="15.75" x14ac:dyDescent="0.25">
      <c r="A78" s="97">
        <v>24060300</v>
      </c>
      <c r="B78" s="119" t="s">
        <v>183</v>
      </c>
      <c r="C78" s="125">
        <f t="shared" si="5"/>
        <v>820000</v>
      </c>
      <c r="D78" s="125">
        <f>300000+520000</f>
        <v>820000</v>
      </c>
      <c r="E78" s="125"/>
      <c r="F78" s="125"/>
      <c r="G78" s="120">
        <f t="shared" si="6"/>
        <v>1640000</v>
      </c>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row>
    <row r="79" spans="1:44" ht="63" hidden="1" x14ac:dyDescent="0.25">
      <c r="A79" s="97">
        <v>24062000</v>
      </c>
      <c r="B79" s="109" t="s">
        <v>28</v>
      </c>
      <c r="C79" s="107">
        <f t="shared" si="5"/>
        <v>0</v>
      </c>
      <c r="D79" s="107"/>
      <c r="E79" s="107"/>
      <c r="F79" s="107"/>
      <c r="G79" s="120">
        <f t="shared" si="6"/>
        <v>0</v>
      </c>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row>
    <row r="80" spans="1:44" ht="48.75" hidden="1" customHeight="1" x14ac:dyDescent="0.25">
      <c r="A80" s="97">
        <v>24062100</v>
      </c>
      <c r="B80" s="109" t="s">
        <v>66</v>
      </c>
      <c r="C80" s="107">
        <f t="shared" si="5"/>
        <v>0</v>
      </c>
      <c r="D80" s="107"/>
      <c r="E80" s="107"/>
      <c r="F80" s="107"/>
      <c r="G80" s="120">
        <f t="shared" si="6"/>
        <v>0</v>
      </c>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row>
    <row r="81" spans="1:44" s="115" customFormat="1" ht="21" customHeight="1" x14ac:dyDescent="0.25">
      <c r="A81" s="98">
        <v>25000000</v>
      </c>
      <c r="B81" s="100" t="s">
        <v>67</v>
      </c>
      <c r="C81" s="220">
        <f t="shared" si="5"/>
        <v>194704296</v>
      </c>
      <c r="D81" s="220"/>
      <c r="E81" s="220">
        <f>E82+E87</f>
        <v>194704296</v>
      </c>
      <c r="F81" s="220"/>
      <c r="G81" s="120">
        <f t="shared" si="6"/>
        <v>389408592</v>
      </c>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row>
    <row r="82" spans="1:44" s="112" customFormat="1" ht="31.5" customHeight="1" x14ac:dyDescent="0.25">
      <c r="A82" s="98">
        <v>25010000</v>
      </c>
      <c r="B82" s="100" t="s">
        <v>68</v>
      </c>
      <c r="C82" s="220">
        <f t="shared" si="5"/>
        <v>147716096</v>
      </c>
      <c r="D82" s="220"/>
      <c r="E82" s="220">
        <f>SUM(E83:E86)</f>
        <v>147716096</v>
      </c>
      <c r="F82" s="220"/>
      <c r="G82" s="120">
        <f t="shared" si="6"/>
        <v>295432192</v>
      </c>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row>
    <row r="83" spans="1:44" ht="31.5" x14ac:dyDescent="0.25">
      <c r="A83" s="97">
        <v>25010100</v>
      </c>
      <c r="B83" s="109" t="s">
        <v>244</v>
      </c>
      <c r="C83" s="125">
        <f t="shared" si="5"/>
        <v>96535775</v>
      </c>
      <c r="D83" s="220"/>
      <c r="E83" s="125">
        <f>41100+19376190+318700+60000+730600+1500000+60000+830000+56000+6283875+230000+57662340+7969170+1212400+205400</f>
        <v>96535775</v>
      </c>
      <c r="F83" s="125"/>
      <c r="G83" s="120">
        <f t="shared" si="6"/>
        <v>193071550</v>
      </c>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row>
    <row r="84" spans="1:44" ht="31.5" x14ac:dyDescent="0.25">
      <c r="A84" s="97">
        <v>25010200</v>
      </c>
      <c r="B84" s="109" t="s">
        <v>158</v>
      </c>
      <c r="C84" s="125">
        <f t="shared" si="5"/>
        <v>50437099</v>
      </c>
      <c r="D84" s="220"/>
      <c r="E84" s="125">
        <f>727000+21120629+285700+700+261900+1179920+160000+1131300+5777060+12652060+5203930+144800+1792100</f>
        <v>50437099</v>
      </c>
      <c r="F84" s="125"/>
      <c r="G84" s="120">
        <f t="shared" si="6"/>
        <v>100874198</v>
      </c>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row>
    <row r="85" spans="1:44" ht="47.25" x14ac:dyDescent="0.25">
      <c r="A85" s="97">
        <v>25010300</v>
      </c>
      <c r="B85" s="109" t="s">
        <v>1800</v>
      </c>
      <c r="C85" s="125">
        <f t="shared" si="5"/>
        <v>729212</v>
      </c>
      <c r="D85" s="220"/>
      <c r="E85" s="125">
        <f>566430+8500+320+4000+144962+5000</f>
        <v>729212</v>
      </c>
      <c r="F85" s="125"/>
      <c r="G85" s="120">
        <f t="shared" si="6"/>
        <v>1458424</v>
      </c>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row>
    <row r="86" spans="1:44" ht="30.75" customHeight="1" x14ac:dyDescent="0.25">
      <c r="A86" s="97">
        <v>25010400</v>
      </c>
      <c r="B86" s="109" t="s">
        <v>227</v>
      </c>
      <c r="C86" s="125">
        <f t="shared" si="5"/>
        <v>14010</v>
      </c>
      <c r="D86" s="220"/>
      <c r="E86" s="125">
        <f>3000+11010</f>
        <v>14010</v>
      </c>
      <c r="F86" s="125"/>
      <c r="G86" s="120">
        <f t="shared" si="6"/>
        <v>28020</v>
      </c>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row>
    <row r="87" spans="1:44" s="112" customFormat="1" ht="15.75" x14ac:dyDescent="0.25">
      <c r="A87" s="98">
        <v>25020000</v>
      </c>
      <c r="B87" s="100" t="s">
        <v>249</v>
      </c>
      <c r="C87" s="220">
        <f t="shared" si="5"/>
        <v>46988200</v>
      </c>
      <c r="D87" s="220"/>
      <c r="E87" s="220">
        <f>E88</f>
        <v>46988200</v>
      </c>
      <c r="F87" s="220"/>
      <c r="G87" s="120">
        <f t="shared" si="6"/>
        <v>93976400</v>
      </c>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row>
    <row r="88" spans="1:44" ht="94.5" x14ac:dyDescent="0.25">
      <c r="A88" s="97">
        <v>25020200</v>
      </c>
      <c r="B88" s="109" t="s">
        <v>987</v>
      </c>
      <c r="C88" s="125">
        <f t="shared" si="5"/>
        <v>46988200</v>
      </c>
      <c r="D88" s="220"/>
      <c r="E88" s="125">
        <f>2816200+44172000</f>
        <v>46988200</v>
      </c>
      <c r="F88" s="125"/>
      <c r="G88" s="120">
        <f t="shared" si="6"/>
        <v>93976400</v>
      </c>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row>
    <row r="89" spans="1:44" ht="15.75" hidden="1" x14ac:dyDescent="0.25">
      <c r="A89" s="98">
        <v>30000000</v>
      </c>
      <c r="B89" s="98" t="s">
        <v>39</v>
      </c>
      <c r="C89" s="99">
        <f t="shared" si="5"/>
        <v>0</v>
      </c>
      <c r="D89" s="99"/>
      <c r="E89" s="99">
        <f>E90</f>
        <v>0</v>
      </c>
      <c r="F89" s="99">
        <f>F90</f>
        <v>0</v>
      </c>
      <c r="G89" s="120">
        <f t="shared" si="6"/>
        <v>0</v>
      </c>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row>
    <row r="90" spans="1:44" ht="15.75" hidden="1" x14ac:dyDescent="0.25">
      <c r="A90" s="98">
        <v>31000000</v>
      </c>
      <c r="B90" s="100" t="s">
        <v>40</v>
      </c>
      <c r="C90" s="99">
        <f t="shared" si="5"/>
        <v>0</v>
      </c>
      <c r="D90" s="99"/>
      <c r="E90" s="99">
        <f>E91</f>
        <v>0</v>
      </c>
      <c r="F90" s="99">
        <f>F91</f>
        <v>0</v>
      </c>
      <c r="G90" s="120">
        <f t="shared" si="6"/>
        <v>0</v>
      </c>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row>
    <row r="91" spans="1:44" ht="31.5" hidden="1" x14ac:dyDescent="0.25">
      <c r="A91" s="97">
        <v>31030000</v>
      </c>
      <c r="B91" s="109" t="s">
        <v>86</v>
      </c>
      <c r="C91" s="107">
        <f t="shared" si="5"/>
        <v>0</v>
      </c>
      <c r="D91" s="99"/>
      <c r="E91" s="107"/>
      <c r="F91" s="107"/>
      <c r="G91" s="120">
        <f t="shared" si="6"/>
        <v>0</v>
      </c>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row>
    <row r="92" spans="1:44" ht="15.75" x14ac:dyDescent="0.25">
      <c r="A92" s="97"/>
      <c r="B92" s="100" t="s">
        <v>802</v>
      </c>
      <c r="C92" s="220">
        <f>C12+C51</f>
        <v>1519536496</v>
      </c>
      <c r="D92" s="220">
        <f>D12+D51</f>
        <v>1318223800</v>
      </c>
      <c r="E92" s="220">
        <f>E12+E51</f>
        <v>201312696</v>
      </c>
      <c r="F92" s="220">
        <f>F12+F51</f>
        <v>0</v>
      </c>
      <c r="G92" s="120">
        <f t="shared" si="6"/>
        <v>3039072992</v>
      </c>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row>
    <row r="93" spans="1:44" ht="15.75" x14ac:dyDescent="0.25">
      <c r="A93" s="98">
        <v>40000000</v>
      </c>
      <c r="B93" s="98" t="s">
        <v>202</v>
      </c>
      <c r="C93" s="220">
        <f>E93+D93</f>
        <v>2245675051.8099999</v>
      </c>
      <c r="D93" s="220">
        <f>+D94+D163</f>
        <v>932994929</v>
      </c>
      <c r="E93" s="220">
        <f>+E94+E163</f>
        <v>1312680122.8099999</v>
      </c>
      <c r="F93" s="220">
        <f>+F94+F163</f>
        <v>69962822.810000002</v>
      </c>
      <c r="G93" s="120">
        <f t="shared" si="6"/>
        <v>4561312926.4300003</v>
      </c>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row>
    <row r="94" spans="1:44" s="115" customFormat="1" ht="15.75" x14ac:dyDescent="0.25">
      <c r="A94" s="98">
        <v>41000000</v>
      </c>
      <c r="B94" s="98" t="s">
        <v>155</v>
      </c>
      <c r="C94" s="220">
        <f>E94+D94</f>
        <v>2245675051.8099999</v>
      </c>
      <c r="D94" s="220">
        <f>D97+D110+D95+D155</f>
        <v>932994929</v>
      </c>
      <c r="E94" s="220">
        <f>E97+E110+E95+E155</f>
        <v>1312680122.8099999</v>
      </c>
      <c r="F94" s="220">
        <f>F97+F110+F95+F155</f>
        <v>69962822.810000002</v>
      </c>
      <c r="G94" s="120">
        <f t="shared" si="6"/>
        <v>4561312926.4300003</v>
      </c>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row>
    <row r="95" spans="1:44" s="112" customFormat="1" ht="15.75" hidden="1" x14ac:dyDescent="0.25">
      <c r="A95" s="101">
        <v>41010000</v>
      </c>
      <c r="B95" s="121" t="s">
        <v>251</v>
      </c>
      <c r="C95" s="102">
        <f>D95+E95</f>
        <v>0</v>
      </c>
      <c r="D95" s="102"/>
      <c r="E95" s="102"/>
      <c r="F95" s="102"/>
      <c r="G95" s="120">
        <f t="shared" si="6"/>
        <v>0</v>
      </c>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row>
    <row r="96" spans="1:44" ht="31.5" hidden="1" x14ac:dyDescent="0.25">
      <c r="A96" s="97">
        <v>41010900</v>
      </c>
      <c r="B96" s="122" t="s">
        <v>156</v>
      </c>
      <c r="C96" s="107">
        <f>E96+D96</f>
        <v>0</v>
      </c>
      <c r="D96" s="107"/>
      <c r="E96" s="107"/>
      <c r="F96" s="107"/>
      <c r="G96" s="120">
        <f t="shared" si="6"/>
        <v>0</v>
      </c>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row>
    <row r="97" spans="1:44" s="112" customFormat="1" ht="15.75" x14ac:dyDescent="0.25">
      <c r="A97" s="98">
        <v>41020000</v>
      </c>
      <c r="B97" s="1065" t="s">
        <v>680</v>
      </c>
      <c r="C97" s="220">
        <f>C98+C99+C101+C104+C105+C102+C106+C107+C103+C100+C109</f>
        <v>282277400</v>
      </c>
      <c r="D97" s="220">
        <f>D98+D99+D101+D104+D105+D102+D106+D107+D103+D100+D109</f>
        <v>282277400</v>
      </c>
      <c r="E97" s="220">
        <f>E98+E99+E101+E104+E105+E102+E106+E107+E103+E100+E109</f>
        <v>0</v>
      </c>
      <c r="F97" s="220">
        <f>F98+F99+F101+F104+F105+F102+F106+F107+F103+F100+F109</f>
        <v>0</v>
      </c>
      <c r="G97" s="120">
        <f t="shared" si="6"/>
        <v>564554800</v>
      </c>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row>
    <row r="98" spans="1:44" ht="15.75" x14ac:dyDescent="0.25">
      <c r="A98" s="97">
        <v>41020100</v>
      </c>
      <c r="B98" s="122" t="s">
        <v>157</v>
      </c>
      <c r="C98" s="125">
        <f t="shared" ref="C98:C109" si="7">E98+D98</f>
        <v>57297400</v>
      </c>
      <c r="D98" s="1063">
        <v>57297400</v>
      </c>
      <c r="E98" s="1063"/>
      <c r="F98" s="125"/>
      <c r="G98" s="120">
        <f t="shared" si="6"/>
        <v>114594800</v>
      </c>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row>
    <row r="99" spans="1:44" ht="15.75" hidden="1" x14ac:dyDescent="0.25">
      <c r="A99" s="123">
        <v>41020600</v>
      </c>
      <c r="B99" s="109" t="s">
        <v>32</v>
      </c>
      <c r="C99" s="107">
        <f t="shared" si="7"/>
        <v>0</v>
      </c>
      <c r="D99" s="107"/>
      <c r="E99" s="107"/>
      <c r="F99" s="107"/>
      <c r="G99" s="120">
        <f t="shared" si="6"/>
        <v>0</v>
      </c>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row>
    <row r="100" spans="1:44" ht="63" hidden="1" x14ac:dyDescent="0.25">
      <c r="A100" s="123">
        <v>41021100</v>
      </c>
      <c r="B100" s="109" t="s">
        <v>165</v>
      </c>
      <c r="C100" s="107">
        <f t="shared" si="7"/>
        <v>0</v>
      </c>
      <c r="D100" s="107"/>
      <c r="E100" s="107"/>
      <c r="F100" s="107"/>
      <c r="G100" s="120">
        <f t="shared" si="6"/>
        <v>0</v>
      </c>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row>
    <row r="101" spans="1:44" ht="47.25" hidden="1" x14ac:dyDescent="0.25">
      <c r="A101" s="123">
        <v>41021100</v>
      </c>
      <c r="B101" s="109" t="s">
        <v>0</v>
      </c>
      <c r="C101" s="107">
        <f t="shared" si="7"/>
        <v>0</v>
      </c>
      <c r="D101" s="107"/>
      <c r="E101" s="107"/>
      <c r="F101" s="107"/>
      <c r="G101" s="120">
        <f t="shared" si="6"/>
        <v>0</v>
      </c>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row>
    <row r="102" spans="1:44" ht="47.25" hidden="1" x14ac:dyDescent="0.25">
      <c r="A102" s="123">
        <v>41021200</v>
      </c>
      <c r="B102" s="109" t="s">
        <v>210</v>
      </c>
      <c r="C102" s="107">
        <f t="shared" si="7"/>
        <v>0</v>
      </c>
      <c r="D102" s="107"/>
      <c r="E102" s="107"/>
      <c r="F102" s="107"/>
      <c r="G102" s="120">
        <f t="shared" si="6"/>
        <v>0</v>
      </c>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row>
    <row r="103" spans="1:44" ht="47.25" hidden="1" x14ac:dyDescent="0.25">
      <c r="A103" s="123">
        <v>41021300</v>
      </c>
      <c r="B103" s="109" t="s">
        <v>166</v>
      </c>
      <c r="C103" s="107">
        <f t="shared" si="7"/>
        <v>0</v>
      </c>
      <c r="D103" s="107"/>
      <c r="E103" s="107"/>
      <c r="F103" s="107"/>
      <c r="G103" s="120">
        <f t="shared" si="6"/>
        <v>0</v>
      </c>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row>
    <row r="104" spans="1:44" ht="78.75" hidden="1" x14ac:dyDescent="0.25">
      <c r="A104" s="123">
        <v>41021600</v>
      </c>
      <c r="B104" s="109" t="s">
        <v>922</v>
      </c>
      <c r="C104" s="107">
        <f t="shared" si="7"/>
        <v>0</v>
      </c>
      <c r="D104" s="107"/>
      <c r="E104" s="107"/>
      <c r="F104" s="107"/>
      <c r="G104" s="120">
        <f t="shared" si="6"/>
        <v>0</v>
      </c>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row>
    <row r="105" spans="1:44" ht="63" hidden="1" x14ac:dyDescent="0.25">
      <c r="A105" s="123">
        <v>41021700</v>
      </c>
      <c r="B105" s="109" t="s">
        <v>199</v>
      </c>
      <c r="C105" s="107">
        <f t="shared" si="7"/>
        <v>0</v>
      </c>
      <c r="D105" s="107"/>
      <c r="E105" s="107"/>
      <c r="F105" s="107"/>
      <c r="G105" s="120">
        <f t="shared" si="6"/>
        <v>0</v>
      </c>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row>
    <row r="106" spans="1:44" ht="31.5" hidden="1" x14ac:dyDescent="0.25">
      <c r="A106" s="123">
        <v>41021800</v>
      </c>
      <c r="B106" s="122" t="s">
        <v>186</v>
      </c>
      <c r="C106" s="107">
        <f t="shared" si="7"/>
        <v>0</v>
      </c>
      <c r="D106" s="107"/>
      <c r="E106" s="107"/>
      <c r="F106" s="107"/>
      <c r="G106" s="120">
        <f t="shared" si="6"/>
        <v>0</v>
      </c>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row>
    <row r="107" spans="1:44" ht="63" hidden="1" x14ac:dyDescent="0.25">
      <c r="A107" s="123">
        <v>41021900</v>
      </c>
      <c r="B107" s="122" t="s">
        <v>211</v>
      </c>
      <c r="C107" s="107">
        <f t="shared" si="7"/>
        <v>0</v>
      </c>
      <c r="D107" s="107"/>
      <c r="E107" s="107"/>
      <c r="F107" s="107"/>
      <c r="G107" s="120">
        <f t="shared" si="6"/>
        <v>0</v>
      </c>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row>
    <row r="108" spans="1:44" ht="15.75" hidden="1" x14ac:dyDescent="0.25">
      <c r="A108" s="123"/>
      <c r="B108" s="122"/>
      <c r="C108" s="107">
        <f t="shared" si="7"/>
        <v>0</v>
      </c>
      <c r="D108" s="107"/>
      <c r="E108" s="107"/>
      <c r="F108" s="107"/>
      <c r="G108" s="120">
        <f t="shared" si="6"/>
        <v>0</v>
      </c>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row>
    <row r="109" spans="1:44" ht="47.25" x14ac:dyDescent="0.25">
      <c r="A109" s="218">
        <v>41020200</v>
      </c>
      <c r="B109" s="122" t="s">
        <v>52</v>
      </c>
      <c r="C109" s="125">
        <f t="shared" si="7"/>
        <v>224980000</v>
      </c>
      <c r="D109" s="1063">
        <v>224980000</v>
      </c>
      <c r="E109" s="1063"/>
      <c r="F109" s="125"/>
      <c r="G109" s="120">
        <f t="shared" si="6"/>
        <v>449960000</v>
      </c>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row>
    <row r="110" spans="1:44" s="112" customFormat="1" ht="15.75" x14ac:dyDescent="0.25">
      <c r="A110" s="98">
        <v>41030000</v>
      </c>
      <c r="B110" s="1065" t="s">
        <v>679</v>
      </c>
      <c r="C110" s="220">
        <f>SUM(C111:C154)</f>
        <v>1905541419</v>
      </c>
      <c r="D110" s="220">
        <f>SUM(D111:D154)</f>
        <v>646418219</v>
      </c>
      <c r="E110" s="220">
        <f>SUM(E111:E154)</f>
        <v>1259123200</v>
      </c>
      <c r="F110" s="220">
        <f>SUM(F111:F154)</f>
        <v>16405900</v>
      </c>
      <c r="G110" s="120">
        <f t="shared" si="6"/>
        <v>3827488738</v>
      </c>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row>
    <row r="111" spans="1:44" s="112" customFormat="1" ht="31.5" hidden="1" x14ac:dyDescent="0.25">
      <c r="A111" s="124">
        <v>41030300</v>
      </c>
      <c r="B111" s="134" t="s">
        <v>803</v>
      </c>
      <c r="C111" s="107">
        <f t="shared" ref="C111:C138" si="8">E111+D111</f>
        <v>0</v>
      </c>
      <c r="D111" s="163"/>
      <c r="E111" s="102"/>
      <c r="F111" s="102"/>
      <c r="G111" s="120">
        <f t="shared" si="6"/>
        <v>0</v>
      </c>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row>
    <row r="112" spans="1:44" s="112" customFormat="1" ht="63" hidden="1" x14ac:dyDescent="0.25">
      <c r="A112" s="124">
        <v>41030400</v>
      </c>
      <c r="B112" s="134" t="s">
        <v>1012</v>
      </c>
      <c r="C112" s="107">
        <f>D112+E112</f>
        <v>0</v>
      </c>
      <c r="D112" s="163"/>
      <c r="E112" s="102"/>
      <c r="F112" s="102"/>
      <c r="G112" s="120">
        <f t="shared" si="6"/>
        <v>0</v>
      </c>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row>
    <row r="113" spans="1:44" s="112" customFormat="1" ht="267.75" x14ac:dyDescent="0.25">
      <c r="A113" s="484">
        <v>41030500</v>
      </c>
      <c r="B113" s="486" t="s">
        <v>823</v>
      </c>
      <c r="C113" s="107">
        <f t="shared" si="8"/>
        <v>1328900</v>
      </c>
      <c r="D113" s="310">
        <v>1328900</v>
      </c>
      <c r="E113" s="107"/>
      <c r="F113" s="107"/>
      <c r="G113" s="120">
        <f t="shared" si="6"/>
        <v>2657800</v>
      </c>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row>
    <row r="114" spans="1:44" ht="157.5" hidden="1" x14ac:dyDescent="0.25">
      <c r="A114" s="123">
        <v>41030600</v>
      </c>
      <c r="B114" s="132" t="s">
        <v>515</v>
      </c>
      <c r="C114" s="107">
        <f t="shared" si="8"/>
        <v>0</v>
      </c>
      <c r="D114" s="163"/>
      <c r="E114" s="163"/>
      <c r="F114" s="107"/>
      <c r="G114" s="120">
        <f t="shared" si="6"/>
        <v>0</v>
      </c>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row>
    <row r="115" spans="1:44" ht="157.5" hidden="1" x14ac:dyDescent="0.25">
      <c r="A115" s="123">
        <v>41030800</v>
      </c>
      <c r="B115" s="132" t="s">
        <v>729</v>
      </c>
      <c r="C115" s="107">
        <f t="shared" si="8"/>
        <v>0</v>
      </c>
      <c r="D115" s="163"/>
      <c r="E115" s="163"/>
      <c r="F115" s="107"/>
      <c r="G115" s="120">
        <f t="shared" si="6"/>
        <v>0</v>
      </c>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row>
    <row r="116" spans="1:44" ht="204.75" hidden="1" x14ac:dyDescent="0.25">
      <c r="A116" s="123">
        <v>41030900</v>
      </c>
      <c r="B116" s="132" t="s">
        <v>126</v>
      </c>
      <c r="C116" s="107">
        <f t="shared" si="8"/>
        <v>0</v>
      </c>
      <c r="D116" s="107"/>
      <c r="E116" s="107"/>
      <c r="F116" s="107"/>
      <c r="G116" s="120">
        <f t="shared" si="6"/>
        <v>0</v>
      </c>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row>
    <row r="117" spans="1:44" ht="47.25" hidden="1" x14ac:dyDescent="0.25">
      <c r="A117" s="123">
        <v>41031000</v>
      </c>
      <c r="B117" s="133" t="s">
        <v>516</v>
      </c>
      <c r="C117" s="107">
        <f t="shared" si="8"/>
        <v>0</v>
      </c>
      <c r="D117" s="163"/>
      <c r="E117" s="163"/>
      <c r="F117" s="107"/>
      <c r="G117" s="120">
        <f t="shared" si="6"/>
        <v>0</v>
      </c>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row>
    <row r="118" spans="1:44" ht="157.5" hidden="1" x14ac:dyDescent="0.25">
      <c r="A118" s="484">
        <v>41031300</v>
      </c>
      <c r="B118" s="485" t="s">
        <v>821</v>
      </c>
      <c r="C118" s="107">
        <f t="shared" si="8"/>
        <v>0</v>
      </c>
      <c r="D118" s="163"/>
      <c r="E118" s="163"/>
      <c r="F118" s="107"/>
      <c r="G118" s="120">
        <f t="shared" si="6"/>
        <v>0</v>
      </c>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row>
    <row r="119" spans="1:44" ht="47.25" hidden="1" x14ac:dyDescent="0.25">
      <c r="A119" s="123">
        <v>41031600</v>
      </c>
      <c r="B119" s="261" t="s">
        <v>836</v>
      </c>
      <c r="C119" s="107">
        <f t="shared" si="8"/>
        <v>0</v>
      </c>
      <c r="D119" s="107"/>
      <c r="E119" s="107"/>
      <c r="F119" s="107"/>
      <c r="G119" s="120">
        <f t="shared" si="6"/>
        <v>0</v>
      </c>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row>
    <row r="120" spans="1:44" ht="78.75" hidden="1" x14ac:dyDescent="0.25">
      <c r="A120" s="124">
        <v>41031800</v>
      </c>
      <c r="B120" s="261" t="s">
        <v>832</v>
      </c>
      <c r="C120" s="107">
        <f>E120+D120</f>
        <v>0</v>
      </c>
      <c r="D120" s="107"/>
      <c r="E120" s="107"/>
      <c r="F120" s="107"/>
      <c r="G120" s="120">
        <f t="shared" si="6"/>
        <v>0</v>
      </c>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row>
    <row r="121" spans="1:44" ht="78.75" hidden="1" x14ac:dyDescent="0.25">
      <c r="A121" s="484">
        <v>41031900</v>
      </c>
      <c r="B121" s="485" t="s">
        <v>1029</v>
      </c>
      <c r="C121" s="107">
        <f>E121+D121</f>
        <v>0</v>
      </c>
      <c r="D121" s="107"/>
      <c r="E121" s="107"/>
      <c r="F121" s="107"/>
      <c r="G121" s="120">
        <f t="shared" si="6"/>
        <v>0</v>
      </c>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row>
    <row r="122" spans="1:44" ht="56.25" x14ac:dyDescent="0.2">
      <c r="A122" s="484">
        <v>41032300</v>
      </c>
      <c r="B122" s="1368" t="s">
        <v>1919</v>
      </c>
      <c r="C122" s="1369">
        <f>E122+D122</f>
        <v>16500000</v>
      </c>
      <c r="D122" s="1370">
        <f>10000000+6500000</f>
        <v>16500000</v>
      </c>
      <c r="E122" s="1369"/>
      <c r="F122" s="1369"/>
      <c r="G122" s="120">
        <f t="shared" si="6"/>
        <v>33000000</v>
      </c>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row>
    <row r="123" spans="1:44" ht="31.5" hidden="1" x14ac:dyDescent="0.25">
      <c r="A123" s="564">
        <v>41032700</v>
      </c>
      <c r="B123" s="261" t="s">
        <v>972</v>
      </c>
      <c r="C123" s="107">
        <f>E123+D123</f>
        <v>0</v>
      </c>
      <c r="D123" s="107"/>
      <c r="E123" s="577"/>
      <c r="F123" s="577"/>
      <c r="G123" s="120">
        <f t="shared" si="6"/>
        <v>0</v>
      </c>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row>
    <row r="124" spans="1:44" ht="31.5" hidden="1" x14ac:dyDescent="0.25">
      <c r="A124" s="564">
        <v>41032900</v>
      </c>
      <c r="B124" s="261" t="s">
        <v>904</v>
      </c>
      <c r="C124" s="107">
        <f>E124+D124</f>
        <v>0</v>
      </c>
      <c r="D124" s="107">
        <f>24600500-24600500</f>
        <v>0</v>
      </c>
      <c r="E124" s="107"/>
      <c r="F124" s="107"/>
      <c r="G124" s="120">
        <f t="shared" si="6"/>
        <v>0</v>
      </c>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row>
    <row r="125" spans="1:44" ht="47.25" hidden="1" x14ac:dyDescent="0.25">
      <c r="A125" s="124">
        <v>41032600</v>
      </c>
      <c r="B125" s="134" t="s">
        <v>518</v>
      </c>
      <c r="C125" s="107">
        <f t="shared" si="8"/>
        <v>0</v>
      </c>
      <c r="D125" s="163"/>
      <c r="E125" s="163"/>
      <c r="F125" s="107"/>
      <c r="G125" s="120">
        <f t="shared" si="6"/>
        <v>0</v>
      </c>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row>
    <row r="126" spans="1:44" ht="31.5" hidden="1" x14ac:dyDescent="0.25">
      <c r="A126" s="123">
        <v>41033800</v>
      </c>
      <c r="B126" s="135" t="s">
        <v>212</v>
      </c>
      <c r="C126" s="107">
        <f t="shared" si="8"/>
        <v>0</v>
      </c>
      <c r="D126" s="107">
        <f>F126+E126</f>
        <v>0</v>
      </c>
      <c r="E126" s="107"/>
      <c r="F126" s="107"/>
      <c r="G126" s="120">
        <f t="shared" si="6"/>
        <v>0</v>
      </c>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row>
    <row r="127" spans="1:44" ht="46.9" customHeight="1" x14ac:dyDescent="0.2">
      <c r="A127" s="123">
        <v>41033000</v>
      </c>
      <c r="B127" s="134" t="s">
        <v>1000</v>
      </c>
      <c r="C127" s="1369">
        <f>E127+D127</f>
        <v>151010000</v>
      </c>
      <c r="D127" s="1370">
        <f>93791700+25455600+16242600+281500</f>
        <v>135771400</v>
      </c>
      <c r="E127" s="1369">
        <f>10500000+4738600</f>
        <v>15238600</v>
      </c>
      <c r="F127" s="1369">
        <v>10500000</v>
      </c>
      <c r="G127" s="120">
        <f t="shared" si="6"/>
        <v>312520000</v>
      </c>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row>
    <row r="128" spans="1:44" ht="56.45" hidden="1" customHeight="1" x14ac:dyDescent="0.25">
      <c r="A128" s="123">
        <v>41033300</v>
      </c>
      <c r="B128" s="134" t="s">
        <v>923</v>
      </c>
      <c r="C128" s="107">
        <f t="shared" si="8"/>
        <v>0</v>
      </c>
      <c r="D128" s="163"/>
      <c r="E128" s="163"/>
      <c r="F128" s="107"/>
      <c r="G128" s="120">
        <f t="shared" si="6"/>
        <v>0</v>
      </c>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row>
    <row r="129" spans="1:44" ht="47.25" hidden="1" x14ac:dyDescent="0.25">
      <c r="A129" s="124">
        <v>41033700</v>
      </c>
      <c r="B129" s="134" t="s">
        <v>517</v>
      </c>
      <c r="C129" s="107">
        <f t="shared" si="8"/>
        <v>0</v>
      </c>
      <c r="D129" s="163"/>
      <c r="E129" s="163"/>
      <c r="F129" s="107"/>
      <c r="G129" s="120">
        <f t="shared" si="6"/>
        <v>0</v>
      </c>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row>
    <row r="130" spans="1:44" ht="31.5" hidden="1" x14ac:dyDescent="0.25">
      <c r="A130" s="218">
        <v>41033500</v>
      </c>
      <c r="B130" s="133" t="s">
        <v>80</v>
      </c>
      <c r="C130" s="107">
        <f>E130+D130</f>
        <v>0</v>
      </c>
      <c r="D130" s="163"/>
      <c r="E130" s="163"/>
      <c r="F130" s="107"/>
      <c r="G130" s="120">
        <f t="shared" si="6"/>
        <v>0</v>
      </c>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row>
    <row r="131" spans="1:44" ht="47.25" hidden="1" x14ac:dyDescent="0.25">
      <c r="A131" s="218">
        <v>41033600</v>
      </c>
      <c r="B131" s="133" t="s">
        <v>81</v>
      </c>
      <c r="C131" s="107">
        <f>E131+D131</f>
        <v>0</v>
      </c>
      <c r="D131" s="163"/>
      <c r="E131" s="163"/>
      <c r="F131" s="107"/>
      <c r="G131" s="120">
        <f t="shared" si="6"/>
        <v>0</v>
      </c>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row>
    <row r="132" spans="1:44" ht="31.5" hidden="1" x14ac:dyDescent="0.25">
      <c r="A132" s="123">
        <v>41033800</v>
      </c>
      <c r="B132" s="134" t="s">
        <v>212</v>
      </c>
      <c r="C132" s="107">
        <f t="shared" si="8"/>
        <v>0</v>
      </c>
      <c r="D132" s="107">
        <f>F132+E132</f>
        <v>0</v>
      </c>
      <c r="E132" s="107"/>
      <c r="F132" s="107"/>
      <c r="G132" s="120">
        <f t="shared" si="6"/>
        <v>0</v>
      </c>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row>
    <row r="133" spans="1:44" ht="47.25" x14ac:dyDescent="0.2">
      <c r="A133" s="123">
        <v>41033800</v>
      </c>
      <c r="B133" s="134" t="s">
        <v>1030</v>
      </c>
      <c r="C133" s="1369">
        <f t="shared" si="8"/>
        <v>4900000</v>
      </c>
      <c r="D133" s="1370">
        <v>4900000</v>
      </c>
      <c r="E133" s="1369"/>
      <c r="F133" s="1369"/>
      <c r="G133" s="120">
        <f t="shared" si="6"/>
        <v>9800000</v>
      </c>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row>
    <row r="134" spans="1:44" ht="15.75" x14ac:dyDescent="0.25">
      <c r="A134" s="123">
        <v>41033900</v>
      </c>
      <c r="B134" s="134" t="s">
        <v>191</v>
      </c>
      <c r="C134" s="125">
        <f t="shared" si="8"/>
        <v>291872200</v>
      </c>
      <c r="D134" s="1063">
        <v>291872200</v>
      </c>
      <c r="E134" s="1063"/>
      <c r="F134" s="125"/>
      <c r="G134" s="120">
        <f t="shared" si="6"/>
        <v>583744400</v>
      </c>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row>
    <row r="135" spans="1:44" ht="15.75" hidden="1" x14ac:dyDescent="0.25">
      <c r="A135" s="123">
        <v>41034200</v>
      </c>
      <c r="B135" s="134" t="s">
        <v>192</v>
      </c>
      <c r="C135" s="107">
        <f t="shared" si="8"/>
        <v>0</v>
      </c>
      <c r="D135" s="163"/>
      <c r="E135" s="163"/>
      <c r="F135" s="107"/>
      <c r="G135" s="120">
        <f t="shared" si="6"/>
        <v>0</v>
      </c>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row>
    <row r="136" spans="1:44" ht="110.25" hidden="1" x14ac:dyDescent="0.25">
      <c r="A136" s="123">
        <v>41034300</v>
      </c>
      <c r="B136" s="134" t="s">
        <v>45</v>
      </c>
      <c r="C136" s="107">
        <f t="shared" si="8"/>
        <v>0</v>
      </c>
      <c r="D136" s="107">
        <f>F136+E136</f>
        <v>0</v>
      </c>
      <c r="E136" s="107"/>
      <c r="F136" s="107"/>
      <c r="G136" s="120">
        <f t="shared" si="6"/>
        <v>0</v>
      </c>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row>
    <row r="137" spans="1:44" ht="78.75" x14ac:dyDescent="0.25">
      <c r="A137" s="260">
        <v>41034400</v>
      </c>
      <c r="B137" s="261" t="s">
        <v>730</v>
      </c>
      <c r="C137" s="125">
        <f t="shared" si="8"/>
        <v>26243800</v>
      </c>
      <c r="D137" s="1063">
        <v>26243800</v>
      </c>
      <c r="E137" s="1063"/>
      <c r="F137" s="125"/>
      <c r="G137" s="120">
        <f t="shared" si="6"/>
        <v>52487600</v>
      </c>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row>
    <row r="138" spans="1:44" ht="47.25" x14ac:dyDescent="0.25">
      <c r="A138" s="262">
        <v>41034500</v>
      </c>
      <c r="B138" s="261" t="s">
        <v>31</v>
      </c>
      <c r="C138" s="125">
        <f t="shared" si="8"/>
        <v>19256081</v>
      </c>
      <c r="D138" s="125">
        <f>7355000+1701081+500000+5000000</f>
        <v>14556081</v>
      </c>
      <c r="E138" s="125">
        <f>3000000+1050000+650000</f>
        <v>4700000</v>
      </c>
      <c r="F138" s="125">
        <v>4700000</v>
      </c>
      <c r="G138" s="120">
        <f t="shared" si="6"/>
        <v>43212162</v>
      </c>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row>
    <row r="139" spans="1:44" ht="47.25" hidden="1" x14ac:dyDescent="0.25">
      <c r="A139" s="124">
        <v>41034800</v>
      </c>
      <c r="B139" s="134" t="s">
        <v>119</v>
      </c>
      <c r="C139" s="107">
        <f>E139+D139</f>
        <v>0</v>
      </c>
      <c r="D139" s="107">
        <f>F139+E139</f>
        <v>0</v>
      </c>
      <c r="E139" s="107"/>
      <c r="F139" s="107"/>
      <c r="G139" s="120">
        <f t="shared" si="6"/>
        <v>0</v>
      </c>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row>
    <row r="140" spans="1:44" ht="47.25" hidden="1" x14ac:dyDescent="0.25">
      <c r="A140" s="123">
        <v>41035200</v>
      </c>
      <c r="B140" s="134" t="s">
        <v>178</v>
      </c>
      <c r="C140" s="107">
        <f t="shared" ref="C140:C154" si="9">E140+D140</f>
        <v>0</v>
      </c>
      <c r="D140" s="107"/>
      <c r="E140" s="107"/>
      <c r="F140" s="163"/>
      <c r="G140" s="120">
        <f t="shared" si="6"/>
        <v>0</v>
      </c>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row>
    <row r="141" spans="1:44" ht="47.25" x14ac:dyDescent="0.25">
      <c r="A141" s="260">
        <v>41035300</v>
      </c>
      <c r="B141" s="261" t="s">
        <v>1920</v>
      </c>
      <c r="C141" s="125">
        <f>E141+D141</f>
        <v>3386260</v>
      </c>
      <c r="D141" s="1063">
        <v>3386260</v>
      </c>
      <c r="E141" s="1063"/>
      <c r="F141" s="125"/>
      <c r="G141" s="120">
        <f t="shared" ref="G141:G169" si="10">SUM(C141:F141)</f>
        <v>6772520</v>
      </c>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row>
    <row r="142" spans="1:44" ht="31.5" x14ac:dyDescent="0.25">
      <c r="A142" s="218">
        <v>41035400</v>
      </c>
      <c r="B142" s="134" t="s">
        <v>89</v>
      </c>
      <c r="C142" s="125">
        <f t="shared" si="9"/>
        <v>21231900</v>
      </c>
      <c r="D142" s="1063">
        <v>21231900</v>
      </c>
      <c r="E142" s="1063"/>
      <c r="F142" s="125"/>
      <c r="G142" s="120">
        <f t="shared" si="10"/>
        <v>42463800</v>
      </c>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row>
    <row r="143" spans="1:44" ht="141.75" hidden="1" x14ac:dyDescent="0.25">
      <c r="A143" s="124">
        <v>41035800</v>
      </c>
      <c r="B143" s="134" t="s">
        <v>799</v>
      </c>
      <c r="C143" s="107">
        <f t="shared" si="9"/>
        <v>0</v>
      </c>
      <c r="D143" s="163"/>
      <c r="E143" s="163"/>
      <c r="F143" s="107"/>
      <c r="G143" s="120">
        <f t="shared" si="10"/>
        <v>0</v>
      </c>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row>
    <row r="144" spans="1:44" ht="63" x14ac:dyDescent="0.25">
      <c r="A144" s="124">
        <v>41035900</v>
      </c>
      <c r="B144" s="134" t="s">
        <v>1452</v>
      </c>
      <c r="C144" s="125">
        <f t="shared" si="9"/>
        <v>33329300</v>
      </c>
      <c r="D144" s="125">
        <f>666400+32662900</f>
        <v>33329300</v>
      </c>
      <c r="E144" s="1063"/>
      <c r="F144" s="125"/>
      <c r="G144" s="120">
        <f t="shared" si="10"/>
        <v>66658600</v>
      </c>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row>
    <row r="145" spans="1:44" ht="168.75" hidden="1" x14ac:dyDescent="0.3">
      <c r="A145" s="262">
        <v>41036000</v>
      </c>
      <c r="B145" s="728" t="s">
        <v>1046</v>
      </c>
      <c r="C145" s="729">
        <f>E145+D145</f>
        <v>0</v>
      </c>
      <c r="D145" s="729"/>
      <c r="E145" s="163"/>
      <c r="F145" s="107"/>
      <c r="G145" s="120">
        <f t="shared" si="10"/>
        <v>0</v>
      </c>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row>
    <row r="146" spans="1:44" ht="216" customHeight="1" x14ac:dyDescent="0.25">
      <c r="A146" s="124">
        <v>41036100</v>
      </c>
      <c r="B146" s="134" t="s">
        <v>820</v>
      </c>
      <c r="C146" s="727">
        <f t="shared" si="9"/>
        <v>27734296</v>
      </c>
      <c r="D146" s="310">
        <f>26506364+1227932</f>
        <v>27734296</v>
      </c>
      <c r="E146" s="727"/>
      <c r="F146" s="727"/>
      <c r="G146" s="120">
        <f t="shared" si="10"/>
        <v>55468592</v>
      </c>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row>
    <row r="147" spans="1:44" ht="194.25" customHeight="1" x14ac:dyDescent="0.25">
      <c r="A147" s="484">
        <v>41036400</v>
      </c>
      <c r="B147" s="486" t="s">
        <v>822</v>
      </c>
      <c r="C147" s="107">
        <f t="shared" si="9"/>
        <v>5199182</v>
      </c>
      <c r="D147" s="107">
        <f>4718469+480713</f>
        <v>5199182</v>
      </c>
      <c r="E147" s="107"/>
      <c r="F147" s="107"/>
      <c r="G147" s="120">
        <f t="shared" si="10"/>
        <v>10398364</v>
      </c>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row>
    <row r="148" spans="1:44" ht="173.25" hidden="1" x14ac:dyDescent="0.25">
      <c r="A148" s="124">
        <v>41036600</v>
      </c>
      <c r="B148" s="313" t="s">
        <v>726</v>
      </c>
      <c r="C148" s="107">
        <f t="shared" si="9"/>
        <v>0</v>
      </c>
      <c r="D148" s="107"/>
      <c r="E148" s="107"/>
      <c r="F148" s="107"/>
      <c r="G148" s="120">
        <f t="shared" si="10"/>
        <v>0</v>
      </c>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row>
    <row r="149" spans="1:44" ht="47.25" hidden="1" x14ac:dyDescent="0.25">
      <c r="A149" s="124">
        <v>41037000</v>
      </c>
      <c r="B149" s="134" t="s">
        <v>117</v>
      </c>
      <c r="C149" s="107">
        <f t="shared" si="9"/>
        <v>0</v>
      </c>
      <c r="D149" s="107"/>
      <c r="E149" s="107"/>
      <c r="F149" s="107"/>
      <c r="G149" s="120">
        <f t="shared" si="10"/>
        <v>0</v>
      </c>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row>
    <row r="150" spans="1:44" ht="47.25" x14ac:dyDescent="0.25">
      <c r="A150" s="262">
        <v>41037200</v>
      </c>
      <c r="B150" s="134" t="s">
        <v>695</v>
      </c>
      <c r="C150" s="107">
        <f t="shared" si="9"/>
        <v>54366900</v>
      </c>
      <c r="D150" s="107">
        <v>54366900</v>
      </c>
      <c r="E150" s="107"/>
      <c r="F150" s="107"/>
      <c r="G150" s="120">
        <f t="shared" si="10"/>
        <v>108733800</v>
      </c>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row>
    <row r="151" spans="1:44" ht="63" x14ac:dyDescent="0.25">
      <c r="A151" s="262">
        <v>41037300</v>
      </c>
      <c r="B151" s="261" t="s">
        <v>525</v>
      </c>
      <c r="C151" s="125">
        <f t="shared" si="9"/>
        <v>1237978700</v>
      </c>
      <c r="D151" s="1063"/>
      <c r="E151" s="1063">
        <f>190214200+760856600+173476800+113431100</f>
        <v>1237978700</v>
      </c>
      <c r="F151" s="125"/>
      <c r="G151" s="120">
        <f t="shared" si="10"/>
        <v>2475957400</v>
      </c>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row>
    <row r="152" spans="1:44" ht="31.5" hidden="1" x14ac:dyDescent="0.25">
      <c r="A152" s="124">
        <v>41037800</v>
      </c>
      <c r="B152" s="134" t="s">
        <v>228</v>
      </c>
      <c r="C152" s="125">
        <f t="shared" si="9"/>
        <v>0</v>
      </c>
      <c r="D152" s="107"/>
      <c r="E152" s="107"/>
      <c r="F152" s="107"/>
      <c r="G152" s="120">
        <f t="shared" si="10"/>
        <v>0</v>
      </c>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row>
    <row r="153" spans="1:44" ht="63" x14ac:dyDescent="0.25">
      <c r="A153" s="123">
        <v>41039100</v>
      </c>
      <c r="B153" s="134" t="s">
        <v>2261</v>
      </c>
      <c r="C153" s="125">
        <f t="shared" si="9"/>
        <v>11203900</v>
      </c>
      <c r="D153" s="107">
        <v>9998000</v>
      </c>
      <c r="E153" s="107">
        <v>1205900</v>
      </c>
      <c r="F153" s="107">
        <v>1205900</v>
      </c>
      <c r="G153" s="120">
        <f t="shared" si="10"/>
        <v>23613700</v>
      </c>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row>
    <row r="154" spans="1:44" ht="63" hidden="1" x14ac:dyDescent="0.25">
      <c r="A154" s="123">
        <v>41039700</v>
      </c>
      <c r="B154" s="134" t="s">
        <v>33</v>
      </c>
      <c r="C154" s="125">
        <f t="shared" si="9"/>
        <v>0</v>
      </c>
      <c r="D154" s="107"/>
      <c r="E154" s="107"/>
      <c r="F154" s="107"/>
      <c r="G154" s="120">
        <f t="shared" si="10"/>
        <v>0</v>
      </c>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row>
    <row r="155" spans="1:44" s="112" customFormat="1" ht="15.75" x14ac:dyDescent="0.25">
      <c r="A155" s="98">
        <v>41050000</v>
      </c>
      <c r="B155" s="1065" t="s">
        <v>684</v>
      </c>
      <c r="C155" s="220">
        <f>C161+C160+C159+C156+C158+C157</f>
        <v>57856232.810000002</v>
      </c>
      <c r="D155" s="220">
        <f>D161+D160+D159+D156+D158+D157</f>
        <v>4299310</v>
      </c>
      <c r="E155" s="220">
        <f>E161+E160+E159+E156+E158+E157</f>
        <v>53556922.810000002</v>
      </c>
      <c r="F155" s="220">
        <f>F161+F160+F159+F156+F158+F157</f>
        <v>53556922.810000002</v>
      </c>
      <c r="G155" s="120">
        <f t="shared" si="10"/>
        <v>169269388.43000001</v>
      </c>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row>
    <row r="156" spans="1:44" s="112" customFormat="1" ht="31.5" hidden="1" x14ac:dyDescent="0.25">
      <c r="A156" s="260">
        <v>41051100</v>
      </c>
      <c r="B156" s="261" t="s">
        <v>323</v>
      </c>
      <c r="C156" s="269">
        <f t="shared" ref="C156:C161" si="11">E156+D156</f>
        <v>0</v>
      </c>
      <c r="D156" s="269"/>
      <c r="E156" s="269"/>
      <c r="F156" s="269">
        <f t="shared" ref="F156:F161" si="12">E156</f>
        <v>0</v>
      </c>
      <c r="G156" s="120">
        <f t="shared" si="10"/>
        <v>0</v>
      </c>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row>
    <row r="157" spans="1:44" s="112" customFormat="1" ht="52.5" hidden="1" customHeight="1" x14ac:dyDescent="0.25">
      <c r="A157" s="260">
        <v>41052400</v>
      </c>
      <c r="B157" s="261" t="s">
        <v>924</v>
      </c>
      <c r="C157" s="269">
        <f t="shared" si="11"/>
        <v>0</v>
      </c>
      <c r="D157" s="269"/>
      <c r="E157" s="269">
        <f>2470687+1695600-4166287</f>
        <v>0</v>
      </c>
      <c r="F157" s="269">
        <f t="shared" si="12"/>
        <v>0</v>
      </c>
      <c r="G157" s="120">
        <f t="shared" si="10"/>
        <v>0</v>
      </c>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row>
    <row r="158" spans="1:44" s="112" customFormat="1" ht="71.25" customHeight="1" x14ac:dyDescent="0.25">
      <c r="A158" s="260">
        <v>41053500</v>
      </c>
      <c r="B158" s="261" t="s">
        <v>710</v>
      </c>
      <c r="C158" s="269">
        <f t="shared" si="11"/>
        <v>3270620</v>
      </c>
      <c r="D158" s="269">
        <f>1635310+1635310</f>
        <v>3270620</v>
      </c>
      <c r="E158" s="269">
        <f>800000-800000+430000-430000</f>
        <v>0</v>
      </c>
      <c r="F158" s="269">
        <f>E158</f>
        <v>0</v>
      </c>
      <c r="G158" s="120">
        <f t="shared" si="10"/>
        <v>6541240</v>
      </c>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row>
    <row r="159" spans="1:44" s="112" customFormat="1" ht="31.5" hidden="1" x14ac:dyDescent="0.35">
      <c r="A159" s="260">
        <v>41053600</v>
      </c>
      <c r="B159" s="261" t="s">
        <v>692</v>
      </c>
      <c r="C159" s="577">
        <f t="shared" si="11"/>
        <v>0</v>
      </c>
      <c r="D159" s="269"/>
      <c r="E159" s="269"/>
      <c r="F159" s="269">
        <f t="shared" si="12"/>
        <v>0</v>
      </c>
      <c r="G159" s="120">
        <f t="shared" si="10"/>
        <v>0</v>
      </c>
      <c r="H159" s="111"/>
      <c r="I159" s="111"/>
      <c r="J159" s="111"/>
      <c r="K159" s="111"/>
      <c r="L159" s="908">
        <v>22484631.809999999</v>
      </c>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row>
    <row r="160" spans="1:44" s="112" customFormat="1" ht="31.5" x14ac:dyDescent="0.25">
      <c r="A160" s="260">
        <v>41053700</v>
      </c>
      <c r="B160" s="261" t="s">
        <v>611</v>
      </c>
      <c r="C160" s="269">
        <f t="shared" si="11"/>
        <v>29457808.809999999</v>
      </c>
      <c r="D160" s="269">
        <f>' дод1.2без змін'!D734</f>
        <v>0</v>
      </c>
      <c r="E160" s="269">
        <f>4224242+22484631.81+353000+11000+1500000+230200+1500000-845265</f>
        <v>29457808.809999999</v>
      </c>
      <c r="F160" s="269">
        <f>E160</f>
        <v>29457808.809999999</v>
      </c>
      <c r="G160" s="120">
        <f t="shared" si="10"/>
        <v>88373426.429999992</v>
      </c>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row>
    <row r="161" spans="1:44" s="271" customFormat="1" ht="15.75" x14ac:dyDescent="0.25">
      <c r="A161" s="260">
        <v>41053900</v>
      </c>
      <c r="B161" s="261" t="s">
        <v>305</v>
      </c>
      <c r="C161" s="269">
        <f t="shared" si="11"/>
        <v>25127804</v>
      </c>
      <c r="D161" s="269">
        <f>759900+146290+100000+22500</f>
        <v>1028690</v>
      </c>
      <c r="E161" s="269">
        <f>1813400+7410000+2026000+3995210+3090000+1276000+522250+833616+3115028+17610</f>
        <v>24099114</v>
      </c>
      <c r="F161" s="269">
        <f t="shared" si="12"/>
        <v>24099114</v>
      </c>
      <c r="G161" s="120">
        <f t="shared" si="10"/>
        <v>74354722</v>
      </c>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row>
    <row r="162" spans="1:44" ht="31.5" hidden="1" x14ac:dyDescent="0.25">
      <c r="A162" s="98">
        <v>42000000</v>
      </c>
      <c r="B162" s="225" t="s">
        <v>118</v>
      </c>
      <c r="C162" s="220">
        <f>C163</f>
        <v>0</v>
      </c>
      <c r="D162" s="220">
        <f>D163</f>
        <v>0</v>
      </c>
      <c r="E162" s="220">
        <f>E163</f>
        <v>0</v>
      </c>
      <c r="F162" s="99">
        <f>F163</f>
        <v>0</v>
      </c>
      <c r="G162" s="120">
        <f t="shared" si="10"/>
        <v>0</v>
      </c>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row>
    <row r="163" spans="1:44" ht="16.5" hidden="1" customHeight="1" x14ac:dyDescent="0.25">
      <c r="A163" s="124">
        <v>42020000</v>
      </c>
      <c r="B163" s="134" t="s">
        <v>25</v>
      </c>
      <c r="C163" s="125">
        <f t="shared" ref="C163:C168" si="13">E163+D163</f>
        <v>0</v>
      </c>
      <c r="D163" s="125"/>
      <c r="E163" s="125"/>
      <c r="F163" s="107"/>
      <c r="G163" s="120">
        <f t="shared" si="10"/>
        <v>0</v>
      </c>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row>
    <row r="164" spans="1:44" ht="15.75" hidden="1" x14ac:dyDescent="0.25">
      <c r="A164" s="98">
        <v>50000000</v>
      </c>
      <c r="B164" s="136" t="s">
        <v>123</v>
      </c>
      <c r="C164" s="99">
        <f t="shared" si="13"/>
        <v>0</v>
      </c>
      <c r="D164" s="99"/>
      <c r="E164" s="99">
        <f>+E165+E168</f>
        <v>0</v>
      </c>
      <c r="F164" s="99">
        <f>+F165+F168</f>
        <v>0</v>
      </c>
      <c r="G164" s="120">
        <f t="shared" si="10"/>
        <v>0</v>
      </c>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row>
    <row r="165" spans="1:44" ht="15.75" hidden="1" x14ac:dyDescent="0.25">
      <c r="A165" s="97">
        <v>50080000</v>
      </c>
      <c r="B165" s="135" t="s">
        <v>26</v>
      </c>
      <c r="C165" s="99">
        <f t="shared" si="13"/>
        <v>0</v>
      </c>
      <c r="D165" s="107"/>
      <c r="E165" s="107">
        <f>E166+E167</f>
        <v>0</v>
      </c>
      <c r="F165" s="107"/>
      <c r="G165" s="120">
        <f t="shared" si="10"/>
        <v>0</v>
      </c>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row>
    <row r="166" spans="1:44" ht="31.5" hidden="1" x14ac:dyDescent="0.25">
      <c r="A166" s="97">
        <v>50080200</v>
      </c>
      <c r="B166" s="137" t="s">
        <v>27</v>
      </c>
      <c r="C166" s="99">
        <f t="shared" si="13"/>
        <v>0</v>
      </c>
      <c r="D166" s="107"/>
      <c r="E166" s="107"/>
      <c r="F166" s="107"/>
      <c r="G166" s="120">
        <f t="shared" si="10"/>
        <v>0</v>
      </c>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row>
    <row r="167" spans="1:44" ht="31.5" hidden="1" x14ac:dyDescent="0.25">
      <c r="A167" s="97">
        <v>50080300</v>
      </c>
      <c r="B167" s="137" t="s">
        <v>175</v>
      </c>
      <c r="C167" s="99">
        <f t="shared" si="13"/>
        <v>0</v>
      </c>
      <c r="D167" s="107"/>
      <c r="E167" s="107"/>
      <c r="F167" s="107"/>
      <c r="G167" s="120">
        <f t="shared" si="10"/>
        <v>0</v>
      </c>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row>
    <row r="168" spans="1:44" ht="47.25" hidden="1" x14ac:dyDescent="0.25">
      <c r="A168" s="97">
        <v>50110000</v>
      </c>
      <c r="B168" s="137" t="s">
        <v>162</v>
      </c>
      <c r="C168" s="99">
        <f t="shared" si="13"/>
        <v>0</v>
      </c>
      <c r="D168" s="107"/>
      <c r="E168" s="107"/>
      <c r="F168" s="107"/>
      <c r="G168" s="120">
        <f t="shared" si="10"/>
        <v>0</v>
      </c>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row>
    <row r="169" spans="1:44" ht="24" customHeight="1" x14ac:dyDescent="0.25">
      <c r="A169" s="97" t="s">
        <v>746</v>
      </c>
      <c r="B169" s="136" t="s">
        <v>742</v>
      </c>
      <c r="C169" s="220">
        <f>+C12+C51+C93+C164+C89</f>
        <v>3765211547.8099999</v>
      </c>
      <c r="D169" s="220">
        <f>+D12+D51+D93+D164+D89</f>
        <v>2251218729</v>
      </c>
      <c r="E169" s="220">
        <f>+E12+E51+E93+E164+E89</f>
        <v>1513992818.8099999</v>
      </c>
      <c r="F169" s="220">
        <f>+F12+F51+F93+F164+F89</f>
        <v>69962822.810000002</v>
      </c>
      <c r="G169" s="120">
        <f t="shared" si="10"/>
        <v>7600385918.4299994</v>
      </c>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row>
    <row r="170" spans="1:44" ht="15.75" x14ac:dyDescent="0.25">
      <c r="A170" s="126"/>
      <c r="B170" s="138"/>
      <c r="C170" s="127"/>
      <c r="D170" s="127"/>
      <c r="E170" s="127"/>
      <c r="F170" s="127"/>
      <c r="G170" s="120">
        <v>1</v>
      </c>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row>
    <row r="171" spans="1:44" ht="52.5" customHeight="1" x14ac:dyDescent="0.3">
      <c r="A171" s="128" t="s">
        <v>174</v>
      </c>
      <c r="B171" s="242"/>
      <c r="C171" s="243"/>
      <c r="D171" s="244"/>
      <c r="E171" s="242" t="s">
        <v>1171</v>
      </c>
      <c r="G171" s="120">
        <v>1</v>
      </c>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row>
    <row r="172" spans="1:44" hidden="1" x14ac:dyDescent="0.2">
      <c r="A172" s="92"/>
      <c r="B172" s="92"/>
      <c r="C172" s="92"/>
      <c r="D172" s="92"/>
      <c r="E172" s="92"/>
      <c r="F172" s="92"/>
      <c r="G172" s="92">
        <v>1</v>
      </c>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row>
    <row r="173" spans="1:44" hidden="1" x14ac:dyDescent="0.2">
      <c r="A173" s="92"/>
      <c r="B173" s="92"/>
      <c r="C173" s="92"/>
      <c r="D173" s="92"/>
      <c r="E173" s="92"/>
      <c r="F173" s="92"/>
      <c r="G173" s="92">
        <v>1</v>
      </c>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row>
    <row r="174" spans="1:44" hidden="1" x14ac:dyDescent="0.2">
      <c r="A174" s="92"/>
      <c r="B174" s="92"/>
      <c r="C174" s="92"/>
      <c r="D174" s="92"/>
      <c r="E174" s="92"/>
      <c r="F174" s="92"/>
      <c r="G174" s="92">
        <v>1</v>
      </c>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row>
    <row r="175" spans="1:44" hidden="1" x14ac:dyDescent="0.2">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row>
    <row r="176" spans="1:44" hidden="1" x14ac:dyDescent="0.2">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row>
    <row r="177" spans="1:44" hidden="1" x14ac:dyDescent="0.2">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row>
    <row r="178" spans="1:44" hidden="1" x14ac:dyDescent="0.2">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row>
    <row r="179" spans="1:44" hidden="1" x14ac:dyDescent="0.2">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row>
    <row r="180" spans="1:44" hidden="1" x14ac:dyDescent="0.2">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row>
    <row r="181" spans="1:44" hidden="1" x14ac:dyDescent="0.2">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row>
    <row r="182" spans="1:44" hidden="1" x14ac:dyDescent="0.2">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row>
    <row r="183" spans="1:44" hidden="1" x14ac:dyDescent="0.2">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row>
    <row r="184" spans="1:44" hidden="1" x14ac:dyDescent="0.2">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row>
    <row r="185" spans="1:44" hidden="1" x14ac:dyDescent="0.2">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row>
    <row r="186" spans="1:44" hidden="1" x14ac:dyDescent="0.2">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row>
    <row r="187" spans="1:44" hidden="1" x14ac:dyDescent="0.2">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row>
    <row r="188" spans="1:44" hidden="1" x14ac:dyDescent="0.2">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row>
    <row r="189" spans="1:44" hidden="1" x14ac:dyDescent="0.2">
      <c r="A189" s="92"/>
      <c r="B189" s="92"/>
      <c r="C189" s="92"/>
      <c r="D189" s="92"/>
      <c r="E189" s="13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row>
    <row r="190" spans="1:44" hidden="1" x14ac:dyDescent="0.2">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row>
    <row r="191" spans="1:44" hidden="1" x14ac:dyDescent="0.2">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row>
    <row r="192" spans="1:44" hidden="1" x14ac:dyDescent="0.2">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row>
    <row r="193" spans="1:44" hidden="1" x14ac:dyDescent="0.2">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row>
    <row r="194" spans="1:44" hidden="1" x14ac:dyDescent="0.2">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row>
    <row r="195" spans="1:44" hidden="1" x14ac:dyDescent="0.2">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row>
    <row r="196" spans="1:44" hidden="1" x14ac:dyDescent="0.2">
      <c r="C196" s="459" t="b">
        <f>C92+C93=C169</f>
        <v>1</v>
      </c>
      <c r="D196" s="459" t="b">
        <f>D92+D93=D169</f>
        <v>1</v>
      </c>
      <c r="E196" s="459" t="b">
        <f>E92+E93=E169</f>
        <v>1</v>
      </c>
      <c r="F196" s="459" t="b">
        <f>F92+F93=F169</f>
        <v>1</v>
      </c>
    </row>
    <row r="197" spans="1:44" hidden="1" x14ac:dyDescent="0.2">
      <c r="D197" s="308"/>
      <c r="E197" s="308"/>
      <c r="F197" s="308"/>
    </row>
    <row r="198" spans="1:44" hidden="1" x14ac:dyDescent="0.2">
      <c r="D198" s="308"/>
    </row>
    <row r="199" spans="1:44" hidden="1" x14ac:dyDescent="0.2"/>
    <row r="200" spans="1:44" hidden="1" x14ac:dyDescent="0.2">
      <c r="B200" s="1021"/>
      <c r="C200" s="1022">
        <v>3409716389.8099999</v>
      </c>
      <c r="D200" s="1021">
        <v>2054903820</v>
      </c>
      <c r="E200" s="1021">
        <v>1354812569.8099999</v>
      </c>
      <c r="F200" s="1021">
        <v>28952273.809999999</v>
      </c>
    </row>
    <row r="201" spans="1:44" hidden="1" x14ac:dyDescent="0.2">
      <c r="B201" s="1021"/>
      <c r="C201" s="1022">
        <f>C169-C200</f>
        <v>355495158</v>
      </c>
      <c r="D201" s="1022">
        <f>D169-D200</f>
        <v>196314909</v>
      </c>
      <c r="E201" s="1022">
        <f>E169-E200</f>
        <v>159180249</v>
      </c>
      <c r="F201" s="1022">
        <f>F169-F200</f>
        <v>41010549</v>
      </c>
    </row>
    <row r="202" spans="1:44" hidden="1" x14ac:dyDescent="0.2"/>
    <row r="203" spans="1:44" hidden="1" x14ac:dyDescent="0.2"/>
    <row r="204" spans="1:44" hidden="1" x14ac:dyDescent="0.2"/>
    <row r="205" spans="1:44" hidden="1" x14ac:dyDescent="0.2"/>
    <row r="206" spans="1:44" hidden="1" x14ac:dyDescent="0.2"/>
    <row r="207" spans="1:44" hidden="1" x14ac:dyDescent="0.2"/>
    <row r="208" spans="1:44" hidden="1" x14ac:dyDescent="0.2"/>
  </sheetData>
  <autoFilter ref="G1:G197">
    <filterColumn colId="0">
      <customFilters and="1">
        <customFilter operator="greaterThan" val="0"/>
      </customFilters>
    </filterColumn>
  </autoFilter>
  <mergeCells count="6">
    <mergeCell ref="C9:C10"/>
    <mergeCell ref="A4:E4"/>
    <mergeCell ref="E9:F9"/>
    <mergeCell ref="B9:B10"/>
    <mergeCell ref="D9:D10"/>
    <mergeCell ref="A9:A10"/>
  </mergeCells>
  <phoneticPr fontId="0" type="noConversion"/>
  <pageMargins left="0.78740157480314965" right="0.19685039370078741" top="0.23622047244094491" bottom="0.19685039370078741" header="0.19685039370078741" footer="0.19685039370078741"/>
  <pageSetup paperSize="9" scale="6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filterMode="1">
    <tabColor rgb="FFC00000"/>
  </sheetPr>
  <dimension ref="A1:AO1374"/>
  <sheetViews>
    <sheetView view="pageBreakPreview" zoomScale="73" zoomScaleNormal="65" zoomScaleSheetLayoutView="73" workbookViewId="0">
      <pane xSplit="2" ySplit="6" topLeftCell="C7" activePane="bottomRight" state="frozen"/>
      <selection pane="topRight" activeCell="C1" sqref="C1"/>
      <selection pane="bottomLeft" activeCell="A8" sqref="A8"/>
      <selection pane="bottomRight" activeCell="F1" sqref="F1:J65536"/>
    </sheetView>
  </sheetViews>
  <sheetFormatPr defaultRowHeight="18.75" x14ac:dyDescent="0.3"/>
  <cols>
    <col min="1" max="1" width="26.85546875" style="830" customWidth="1"/>
    <col min="2" max="2" width="44.42578125" style="833" customWidth="1"/>
    <col min="3" max="3" width="19.7109375" style="830" customWidth="1"/>
    <col min="4" max="4" width="22.5703125" style="830" customWidth="1"/>
    <col min="5" max="5" width="21.140625" style="830" bestFit="1" customWidth="1"/>
    <col min="6" max="6" width="16.42578125" style="830" hidden="1" customWidth="1"/>
    <col min="7" max="7" width="17.140625" style="830" hidden="1" customWidth="1"/>
    <col min="8" max="8" width="13.85546875" style="830" hidden="1" customWidth="1"/>
    <col min="9" max="9" width="13.28515625" style="830" hidden="1" customWidth="1"/>
    <col min="10" max="10" width="64.28515625" style="830" hidden="1" customWidth="1"/>
    <col min="11" max="13" width="39.42578125" style="830" customWidth="1"/>
    <col min="14" max="16384" width="9.140625" style="830"/>
  </cols>
  <sheetData>
    <row r="1" spans="1:41" s="371" customFormat="1" ht="20.25" customHeight="1" x14ac:dyDescent="0.3">
      <c r="A1" s="832"/>
      <c r="B1" s="833"/>
      <c r="C1" s="832"/>
      <c r="D1" s="834" t="s">
        <v>82</v>
      </c>
      <c r="F1" s="830"/>
      <c r="G1" s="835">
        <v>1</v>
      </c>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row>
    <row r="2" spans="1:41" s="371" customFormat="1" ht="18" customHeight="1" x14ac:dyDescent="0.3">
      <c r="A2" s="836" t="s">
        <v>858</v>
      </c>
      <c r="B2" s="833"/>
      <c r="C2" s="837"/>
      <c r="D2" s="834" t="s">
        <v>274</v>
      </c>
      <c r="E2" s="830"/>
      <c r="F2" s="835"/>
      <c r="G2" s="835">
        <v>1</v>
      </c>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row>
    <row r="3" spans="1:41" s="371" customFormat="1" ht="22.15" customHeight="1" x14ac:dyDescent="0.3">
      <c r="A3" s="838" t="s">
        <v>856</v>
      </c>
      <c r="B3" s="833"/>
      <c r="C3" s="837"/>
      <c r="D3" s="827" t="s">
        <v>835</v>
      </c>
      <c r="E3" s="830"/>
      <c r="F3" s="835"/>
      <c r="G3" s="835">
        <v>1</v>
      </c>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row>
    <row r="4" spans="1:41" s="371" customFormat="1" ht="37.5" customHeight="1" x14ac:dyDescent="0.3">
      <c r="A4" s="839" t="s">
        <v>1053</v>
      </c>
      <c r="C4" s="840"/>
      <c r="D4" s="840"/>
      <c r="E4" s="841"/>
      <c r="F4" s="835"/>
      <c r="G4" s="835">
        <v>1</v>
      </c>
      <c r="H4" s="835"/>
      <c r="I4" s="835"/>
      <c r="J4" s="828"/>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row>
    <row r="5" spans="1:41" ht="16.5" customHeight="1" x14ac:dyDescent="0.3">
      <c r="A5" s="842"/>
      <c r="B5" s="843"/>
      <c r="C5" s="842"/>
      <c r="D5" s="842"/>
      <c r="E5" s="844" t="s">
        <v>737</v>
      </c>
      <c r="G5" s="830">
        <v>1</v>
      </c>
    </row>
    <row r="6" spans="1:41" ht="54.75" customHeight="1" x14ac:dyDescent="0.3">
      <c r="A6" s="505" t="s">
        <v>116</v>
      </c>
      <c r="B6" s="505" t="s">
        <v>69</v>
      </c>
      <c r="C6" s="505" t="s">
        <v>739</v>
      </c>
      <c r="D6" s="505" t="s">
        <v>53</v>
      </c>
      <c r="E6" s="505" t="s">
        <v>54</v>
      </c>
      <c r="G6" s="830">
        <v>1</v>
      </c>
    </row>
    <row r="7" spans="1:41" x14ac:dyDescent="0.3">
      <c r="A7" s="814">
        <v>1</v>
      </c>
      <c r="B7" s="815">
        <v>2</v>
      </c>
      <c r="C7" s="815">
        <v>3</v>
      </c>
      <c r="D7" s="504">
        <v>4</v>
      </c>
      <c r="E7" s="505">
        <v>5</v>
      </c>
      <c r="F7" s="829">
        <f>E7+D7-C7</f>
        <v>6</v>
      </c>
      <c r="G7" s="829">
        <v>1</v>
      </c>
    </row>
    <row r="8" spans="1:41" ht="75" hidden="1" x14ac:dyDescent="0.3">
      <c r="A8" s="1848" t="s">
        <v>1060</v>
      </c>
      <c r="B8" s="507" t="s">
        <v>617</v>
      </c>
      <c r="C8" s="565">
        <f>1700-1700</f>
        <v>0</v>
      </c>
      <c r="D8" s="565">
        <f>1700-1700</f>
        <v>0</v>
      </c>
      <c r="E8" s="586"/>
      <c r="F8" s="829">
        <f>E8+D8-C8</f>
        <v>0</v>
      </c>
      <c r="G8" s="829">
        <f>SUM(C8:E8)</f>
        <v>0</v>
      </c>
    </row>
    <row r="9" spans="1:41" ht="56.25" x14ac:dyDescent="0.3">
      <c r="A9" s="1848"/>
      <c r="B9" s="1121" t="s">
        <v>1236</v>
      </c>
      <c r="C9" s="1622">
        <v>80000</v>
      </c>
      <c r="D9" s="1622"/>
      <c r="E9" s="1440">
        <v>80000</v>
      </c>
      <c r="F9" s="829">
        <f>E9+D9-C9</f>
        <v>0</v>
      </c>
      <c r="G9" s="829">
        <f t="shared" ref="G9:G72" si="0">SUM(C9:E9)</f>
        <v>160000</v>
      </c>
    </row>
    <row r="10" spans="1:41" hidden="1" x14ac:dyDescent="0.3">
      <c r="A10" s="1848"/>
      <c r="B10" s="862"/>
      <c r="C10" s="1438">
        <f t="shared" ref="C10:C17" si="1">SUM(D10:E10)</f>
        <v>0</v>
      </c>
      <c r="D10" s="1439"/>
      <c r="E10" s="1440"/>
      <c r="F10" s="829">
        <f t="shared" ref="F10:F15" si="2">E10+D10-C10</f>
        <v>0</v>
      </c>
      <c r="G10" s="829">
        <f t="shared" si="0"/>
        <v>0</v>
      </c>
    </row>
    <row r="11" spans="1:41" hidden="1" x14ac:dyDescent="0.3">
      <c r="A11" s="1848"/>
      <c r="B11" s="862"/>
      <c r="C11" s="1438">
        <f t="shared" si="1"/>
        <v>0</v>
      </c>
      <c r="D11" s="1439"/>
      <c r="E11" s="1440"/>
      <c r="F11" s="829">
        <f t="shared" si="2"/>
        <v>0</v>
      </c>
      <c r="G11" s="829">
        <f t="shared" si="0"/>
        <v>0</v>
      </c>
    </row>
    <row r="12" spans="1:41" hidden="1" x14ac:dyDescent="0.3">
      <c r="A12" s="1848"/>
      <c r="B12" s="862"/>
      <c r="C12" s="1438">
        <f t="shared" si="1"/>
        <v>0</v>
      </c>
      <c r="D12" s="1439"/>
      <c r="E12" s="1440"/>
      <c r="F12" s="829">
        <f t="shared" si="2"/>
        <v>0</v>
      </c>
      <c r="G12" s="829">
        <f t="shared" si="0"/>
        <v>0</v>
      </c>
    </row>
    <row r="13" spans="1:41" hidden="1" x14ac:dyDescent="0.3">
      <c r="A13" s="1848"/>
      <c r="B13" s="862"/>
      <c r="C13" s="1438">
        <f t="shared" si="1"/>
        <v>0</v>
      </c>
      <c r="D13" s="1439"/>
      <c r="E13" s="1440"/>
      <c r="F13" s="829">
        <f t="shared" si="2"/>
        <v>0</v>
      </c>
      <c r="G13" s="829">
        <f t="shared" si="0"/>
        <v>0</v>
      </c>
    </row>
    <row r="14" spans="1:41" hidden="1" x14ac:dyDescent="0.3">
      <c r="A14" s="1848"/>
      <c r="B14" s="862"/>
      <c r="C14" s="1438">
        <f t="shared" si="1"/>
        <v>0</v>
      </c>
      <c r="D14" s="1439"/>
      <c r="E14" s="1440"/>
      <c r="F14" s="829">
        <f t="shared" si="2"/>
        <v>0</v>
      </c>
      <c r="G14" s="829">
        <f t="shared" si="0"/>
        <v>0</v>
      </c>
    </row>
    <row r="15" spans="1:41" hidden="1" x14ac:dyDescent="0.3">
      <c r="A15" s="1848"/>
      <c r="B15" s="862"/>
      <c r="C15" s="1438">
        <f t="shared" si="1"/>
        <v>0</v>
      </c>
      <c r="D15" s="1439"/>
      <c r="E15" s="1440"/>
      <c r="F15" s="829">
        <f t="shared" si="2"/>
        <v>0</v>
      </c>
      <c r="G15" s="829">
        <f t="shared" si="0"/>
        <v>0</v>
      </c>
    </row>
    <row r="16" spans="1:41" hidden="1" x14ac:dyDescent="0.3">
      <c r="A16" s="1848"/>
      <c r="B16" s="862"/>
      <c r="C16" s="1438">
        <f t="shared" si="1"/>
        <v>0</v>
      </c>
      <c r="D16" s="1439"/>
      <c r="E16" s="1440"/>
      <c r="F16" s="829">
        <f t="shared" ref="F16:F79" si="3">E16+D16-C16</f>
        <v>0</v>
      </c>
      <c r="G16" s="829">
        <f t="shared" si="0"/>
        <v>0</v>
      </c>
    </row>
    <row r="17" spans="1:7" hidden="1" x14ac:dyDescent="0.3">
      <c r="A17" s="1848"/>
      <c r="B17" s="862"/>
      <c r="C17" s="1438">
        <f t="shared" si="1"/>
        <v>0</v>
      </c>
      <c r="D17" s="1439"/>
      <c r="E17" s="1440"/>
      <c r="F17" s="829">
        <f t="shared" si="3"/>
        <v>0</v>
      </c>
      <c r="G17" s="829">
        <f t="shared" si="0"/>
        <v>0</v>
      </c>
    </row>
    <row r="18" spans="1:7" x14ac:dyDescent="0.3">
      <c r="A18" s="1848"/>
      <c r="B18" s="862" t="s">
        <v>740</v>
      </c>
      <c r="C18" s="1438">
        <f>SUM(C8:C17)</f>
        <v>80000</v>
      </c>
      <c r="D18" s="1438">
        <f>SUM(D8:D17)</f>
        <v>0</v>
      </c>
      <c r="E18" s="1438">
        <f>SUM(E8:E17)</f>
        <v>80000</v>
      </c>
      <c r="F18" s="829">
        <f t="shared" si="3"/>
        <v>0</v>
      </c>
      <c r="G18" s="829">
        <f t="shared" si="0"/>
        <v>160000</v>
      </c>
    </row>
    <row r="19" spans="1:7" ht="75" x14ac:dyDescent="0.3">
      <c r="A19" s="1848" t="s">
        <v>1069</v>
      </c>
      <c r="B19" s="507" t="s">
        <v>617</v>
      </c>
      <c r="C19" s="565">
        <v>1700</v>
      </c>
      <c r="D19" s="565">
        <v>1700</v>
      </c>
      <c r="E19" s="586"/>
      <c r="F19" s="829">
        <f t="shared" si="3"/>
        <v>0</v>
      </c>
      <c r="G19" s="829">
        <f t="shared" si="0"/>
        <v>3400</v>
      </c>
    </row>
    <row r="20" spans="1:7" ht="37.5" x14ac:dyDescent="0.3">
      <c r="A20" s="1848"/>
      <c r="B20" s="1118" t="s">
        <v>1237</v>
      </c>
      <c r="C20" s="1439">
        <v>40000</v>
      </c>
      <c r="D20" s="1439">
        <v>40000</v>
      </c>
      <c r="E20" s="1439"/>
      <c r="F20" s="829">
        <f t="shared" si="3"/>
        <v>0</v>
      </c>
      <c r="G20" s="829">
        <f t="shared" si="0"/>
        <v>80000</v>
      </c>
    </row>
    <row r="21" spans="1:7" ht="37.5" x14ac:dyDescent="0.3">
      <c r="A21" s="1848"/>
      <c r="B21" s="506" t="s">
        <v>1577</v>
      </c>
      <c r="C21" s="1438">
        <f>SUM(D21:E21)</f>
        <v>100000</v>
      </c>
      <c r="D21" s="1438"/>
      <c r="E21" s="1457">
        <v>100000</v>
      </c>
      <c r="F21" s="829">
        <f t="shared" si="3"/>
        <v>0</v>
      </c>
      <c r="G21" s="829">
        <f t="shared" si="0"/>
        <v>200000</v>
      </c>
    </row>
    <row r="22" spans="1:7" ht="75" x14ac:dyDescent="0.3">
      <c r="A22" s="1848"/>
      <c r="B22" s="506" t="s">
        <v>1976</v>
      </c>
      <c r="C22" s="565">
        <v>100000</v>
      </c>
      <c r="D22" s="565"/>
      <c r="E22" s="586">
        <v>100000</v>
      </c>
      <c r="F22" s="829">
        <f t="shared" si="3"/>
        <v>0</v>
      </c>
      <c r="G22" s="829">
        <f t="shared" si="0"/>
        <v>200000</v>
      </c>
    </row>
    <row r="23" spans="1:7" ht="150" x14ac:dyDescent="0.3">
      <c r="A23" s="1848"/>
      <c r="B23" s="1623" t="s">
        <v>2101</v>
      </c>
      <c r="C23" s="1624">
        <v>50000</v>
      </c>
      <c r="D23" s="1625"/>
      <c r="E23" s="1625">
        <v>50000</v>
      </c>
      <c r="F23" s="829">
        <f t="shared" si="3"/>
        <v>0</v>
      </c>
      <c r="G23" s="829">
        <f t="shared" si="0"/>
        <v>100000</v>
      </c>
    </row>
    <row r="24" spans="1:7" hidden="1" x14ac:dyDescent="0.3">
      <c r="A24" s="1848"/>
      <c r="B24" s="862"/>
      <c r="C24" s="1438">
        <f>SUM(D24:E24)</f>
        <v>0</v>
      </c>
      <c r="D24" s="1439"/>
      <c r="E24" s="1440"/>
      <c r="F24" s="829">
        <f t="shared" si="3"/>
        <v>0</v>
      </c>
      <c r="G24" s="829">
        <f t="shared" si="0"/>
        <v>0</v>
      </c>
    </row>
    <row r="25" spans="1:7" hidden="1" x14ac:dyDescent="0.3">
      <c r="A25" s="1848"/>
      <c r="B25" s="862"/>
      <c r="C25" s="1438">
        <f>SUM(D25:E25)</f>
        <v>0</v>
      </c>
      <c r="D25" s="1439"/>
      <c r="E25" s="1440"/>
      <c r="F25" s="829">
        <f t="shared" si="3"/>
        <v>0</v>
      </c>
      <c r="G25" s="829">
        <f t="shared" si="0"/>
        <v>0</v>
      </c>
    </row>
    <row r="26" spans="1:7" hidden="1" x14ac:dyDescent="0.3">
      <c r="A26" s="1848"/>
      <c r="B26" s="862"/>
      <c r="C26" s="1438">
        <f>SUM(D26:E26)</f>
        <v>0</v>
      </c>
      <c r="D26" s="1439"/>
      <c r="E26" s="1440"/>
      <c r="F26" s="829">
        <f t="shared" si="3"/>
        <v>0</v>
      </c>
      <c r="G26" s="829">
        <f t="shared" si="0"/>
        <v>0</v>
      </c>
    </row>
    <row r="27" spans="1:7" hidden="1" x14ac:dyDescent="0.3">
      <c r="A27" s="1848"/>
      <c r="B27" s="862"/>
      <c r="C27" s="1438">
        <f>SUM(D27:E27)</f>
        <v>0</v>
      </c>
      <c r="D27" s="1439"/>
      <c r="E27" s="1440"/>
      <c r="F27" s="829">
        <f t="shared" si="3"/>
        <v>0</v>
      </c>
      <c r="G27" s="829">
        <f t="shared" si="0"/>
        <v>0</v>
      </c>
    </row>
    <row r="28" spans="1:7" hidden="1" x14ac:dyDescent="0.3">
      <c r="A28" s="1848"/>
      <c r="B28" s="862"/>
      <c r="C28" s="1438">
        <f>SUM(D28:E28)</f>
        <v>0</v>
      </c>
      <c r="D28" s="1439"/>
      <c r="E28" s="1440"/>
      <c r="F28" s="829">
        <f t="shared" si="3"/>
        <v>0</v>
      </c>
      <c r="G28" s="829">
        <f t="shared" si="0"/>
        <v>0</v>
      </c>
    </row>
    <row r="29" spans="1:7" x14ac:dyDescent="0.3">
      <c r="A29" s="1848"/>
      <c r="B29" s="862" t="s">
        <v>740</v>
      </c>
      <c r="C29" s="1438">
        <f>SUM(C19:C28)</f>
        <v>291700</v>
      </c>
      <c r="D29" s="1438">
        <f>SUM(D19:D28)</f>
        <v>41700</v>
      </c>
      <c r="E29" s="1438">
        <f>SUM(E19:E28)</f>
        <v>250000</v>
      </c>
      <c r="F29" s="829">
        <f t="shared" si="3"/>
        <v>0</v>
      </c>
      <c r="G29" s="829">
        <f t="shared" si="0"/>
        <v>583400</v>
      </c>
    </row>
    <row r="30" spans="1:7" ht="75" x14ac:dyDescent="0.3">
      <c r="A30" s="1848" t="s">
        <v>1070</v>
      </c>
      <c r="B30" s="507" t="s">
        <v>617</v>
      </c>
      <c r="C30" s="565">
        <v>900</v>
      </c>
      <c r="D30" s="565">
        <v>900</v>
      </c>
      <c r="E30" s="586"/>
      <c r="F30" s="829">
        <f t="shared" si="3"/>
        <v>0</v>
      </c>
      <c r="G30" s="829">
        <f t="shared" si="0"/>
        <v>1800</v>
      </c>
    </row>
    <row r="31" spans="1:7" ht="37.5" x14ac:dyDescent="0.3">
      <c r="A31" s="1848"/>
      <c r="B31" s="1118" t="s">
        <v>1245</v>
      </c>
      <c r="C31" s="1439">
        <v>50000</v>
      </c>
      <c r="D31" s="1439">
        <v>50000</v>
      </c>
      <c r="E31" s="1439"/>
      <c r="F31" s="829">
        <f t="shared" si="3"/>
        <v>0</v>
      </c>
      <c r="G31" s="829">
        <f t="shared" si="0"/>
        <v>100000</v>
      </c>
    </row>
    <row r="32" spans="1:7" hidden="1" x14ac:dyDescent="0.3">
      <c r="A32" s="1848"/>
      <c r="B32" s="862"/>
      <c r="C32" s="1438">
        <f t="shared" ref="C32:C39" si="4">SUM(D32:E32)</f>
        <v>0</v>
      </c>
      <c r="D32" s="1439"/>
      <c r="E32" s="1440"/>
      <c r="F32" s="829">
        <f t="shared" si="3"/>
        <v>0</v>
      </c>
      <c r="G32" s="829">
        <f t="shared" si="0"/>
        <v>0</v>
      </c>
    </row>
    <row r="33" spans="1:7" hidden="1" x14ac:dyDescent="0.3">
      <c r="A33" s="1848"/>
      <c r="B33" s="862"/>
      <c r="C33" s="1438">
        <f t="shared" si="4"/>
        <v>0</v>
      </c>
      <c r="D33" s="1439"/>
      <c r="E33" s="1440"/>
      <c r="F33" s="829">
        <f t="shared" si="3"/>
        <v>0</v>
      </c>
      <c r="G33" s="829">
        <f t="shared" si="0"/>
        <v>0</v>
      </c>
    </row>
    <row r="34" spans="1:7" hidden="1" x14ac:dyDescent="0.3">
      <c r="A34" s="1848"/>
      <c r="B34" s="862"/>
      <c r="C34" s="1438">
        <f t="shared" si="4"/>
        <v>0</v>
      </c>
      <c r="D34" s="1439"/>
      <c r="E34" s="1440"/>
      <c r="F34" s="829">
        <f t="shared" si="3"/>
        <v>0</v>
      </c>
      <c r="G34" s="829">
        <f t="shared" si="0"/>
        <v>0</v>
      </c>
    </row>
    <row r="35" spans="1:7" hidden="1" x14ac:dyDescent="0.3">
      <c r="A35" s="1848"/>
      <c r="B35" s="862"/>
      <c r="C35" s="1438">
        <f t="shared" si="4"/>
        <v>0</v>
      </c>
      <c r="D35" s="1439"/>
      <c r="E35" s="1440"/>
      <c r="F35" s="829">
        <f t="shared" si="3"/>
        <v>0</v>
      </c>
      <c r="G35" s="829">
        <f t="shared" si="0"/>
        <v>0</v>
      </c>
    </row>
    <row r="36" spans="1:7" hidden="1" x14ac:dyDescent="0.3">
      <c r="A36" s="1848"/>
      <c r="B36" s="862"/>
      <c r="C36" s="1438">
        <f t="shared" si="4"/>
        <v>0</v>
      </c>
      <c r="D36" s="1439"/>
      <c r="E36" s="1440"/>
      <c r="F36" s="829">
        <f t="shared" si="3"/>
        <v>0</v>
      </c>
      <c r="G36" s="829">
        <f t="shared" si="0"/>
        <v>0</v>
      </c>
    </row>
    <row r="37" spans="1:7" hidden="1" x14ac:dyDescent="0.3">
      <c r="A37" s="1848"/>
      <c r="B37" s="862"/>
      <c r="C37" s="1438">
        <f t="shared" si="4"/>
        <v>0</v>
      </c>
      <c r="D37" s="1439"/>
      <c r="E37" s="1440"/>
      <c r="F37" s="829">
        <f t="shared" si="3"/>
        <v>0</v>
      </c>
      <c r="G37" s="829">
        <f t="shared" si="0"/>
        <v>0</v>
      </c>
    </row>
    <row r="38" spans="1:7" hidden="1" x14ac:dyDescent="0.3">
      <c r="A38" s="1848"/>
      <c r="B38" s="862"/>
      <c r="C38" s="1438">
        <f t="shared" si="4"/>
        <v>0</v>
      </c>
      <c r="D38" s="1439"/>
      <c r="E38" s="1440"/>
      <c r="F38" s="829">
        <f t="shared" si="3"/>
        <v>0</v>
      </c>
      <c r="G38" s="829">
        <f t="shared" si="0"/>
        <v>0</v>
      </c>
    </row>
    <row r="39" spans="1:7" hidden="1" x14ac:dyDescent="0.3">
      <c r="A39" s="1848"/>
      <c r="B39" s="862"/>
      <c r="C39" s="1438">
        <f t="shared" si="4"/>
        <v>0</v>
      </c>
      <c r="D39" s="1439"/>
      <c r="E39" s="1440"/>
      <c r="F39" s="829">
        <f t="shared" si="3"/>
        <v>0</v>
      </c>
      <c r="G39" s="829">
        <f t="shared" si="0"/>
        <v>0</v>
      </c>
    </row>
    <row r="40" spans="1:7" x14ac:dyDescent="0.3">
      <c r="A40" s="1848"/>
      <c r="B40" s="862" t="s">
        <v>740</v>
      </c>
      <c r="C40" s="1438">
        <f>SUM(C30:C39)</f>
        <v>50900</v>
      </c>
      <c r="D40" s="1438">
        <f>SUM(D30:D39)</f>
        <v>50900</v>
      </c>
      <c r="E40" s="1438">
        <f>SUM(E30:E39)</f>
        <v>0</v>
      </c>
      <c r="F40" s="829">
        <f t="shared" si="3"/>
        <v>0</v>
      </c>
      <c r="G40" s="829">
        <f t="shared" si="0"/>
        <v>101800</v>
      </c>
    </row>
    <row r="41" spans="1:7" ht="75" x14ac:dyDescent="0.3">
      <c r="A41" s="1848" t="s">
        <v>1071</v>
      </c>
      <c r="B41" s="507" t="s">
        <v>617</v>
      </c>
      <c r="C41" s="565">
        <v>24900</v>
      </c>
      <c r="D41" s="565">
        <v>24900</v>
      </c>
      <c r="E41" s="586"/>
      <c r="F41" s="829">
        <f t="shared" si="3"/>
        <v>0</v>
      </c>
      <c r="G41" s="829">
        <f t="shared" si="0"/>
        <v>49800</v>
      </c>
    </row>
    <row r="42" spans="1:7" ht="37.5" x14ac:dyDescent="0.3">
      <c r="A42" s="1848"/>
      <c r="B42" s="1118" t="s">
        <v>1263</v>
      </c>
      <c r="C42" s="1439">
        <v>60000</v>
      </c>
      <c r="D42" s="1439">
        <v>60000</v>
      </c>
      <c r="E42" s="1439"/>
      <c r="F42" s="829">
        <f t="shared" si="3"/>
        <v>0</v>
      </c>
      <c r="G42" s="829">
        <f t="shared" si="0"/>
        <v>120000</v>
      </c>
    </row>
    <row r="43" spans="1:7" ht="75" x14ac:dyDescent="0.3">
      <c r="A43" s="1848"/>
      <c r="B43" s="1121" t="s">
        <v>1264</v>
      </c>
      <c r="C43" s="1440">
        <v>50000</v>
      </c>
      <c r="D43" s="1622">
        <v>50000</v>
      </c>
      <c r="E43" s="1440"/>
      <c r="F43" s="829">
        <f t="shared" si="3"/>
        <v>0</v>
      </c>
      <c r="G43" s="829">
        <f t="shared" si="0"/>
        <v>100000</v>
      </c>
    </row>
    <row r="44" spans="1:7" ht="112.5" x14ac:dyDescent="0.3">
      <c r="A44" s="1848"/>
      <c r="B44" s="862" t="s">
        <v>1534</v>
      </c>
      <c r="C44" s="1438">
        <f>SUM(D44:E44)</f>
        <v>22260</v>
      </c>
      <c r="D44" s="1438">
        <v>22260</v>
      </c>
      <c r="E44" s="1440"/>
      <c r="F44" s="829">
        <f t="shared" si="3"/>
        <v>0</v>
      </c>
      <c r="G44" s="829">
        <f t="shared" si="0"/>
        <v>44520</v>
      </c>
    </row>
    <row r="45" spans="1:7" ht="75" x14ac:dyDescent="0.3">
      <c r="A45" s="1848"/>
      <c r="B45" s="506" t="s">
        <v>1578</v>
      </c>
      <c r="C45" s="1438">
        <f>SUM(D45:E45)</f>
        <v>100000</v>
      </c>
      <c r="D45" s="1438"/>
      <c r="E45" s="1457">
        <v>100000</v>
      </c>
      <c r="F45" s="829">
        <f t="shared" si="3"/>
        <v>0</v>
      </c>
      <c r="G45" s="829">
        <f t="shared" si="0"/>
        <v>200000</v>
      </c>
    </row>
    <row r="46" spans="1:7" ht="56.25" x14ac:dyDescent="0.3">
      <c r="A46" s="1848"/>
      <c r="B46" s="862" t="s">
        <v>1579</v>
      </c>
      <c r="C46" s="1457">
        <v>90000</v>
      </c>
      <c r="D46" s="1457"/>
      <c r="E46" s="1457">
        <v>90000</v>
      </c>
      <c r="F46" s="829">
        <f t="shared" si="3"/>
        <v>0</v>
      </c>
      <c r="G46" s="829">
        <f t="shared" si="0"/>
        <v>180000</v>
      </c>
    </row>
    <row r="47" spans="1:7" ht="168.75" x14ac:dyDescent="0.3">
      <c r="A47" s="1848"/>
      <c r="B47" s="506" t="s">
        <v>1917</v>
      </c>
      <c r="C47" s="1438">
        <f>SUM(D47:E47)</f>
        <v>12000</v>
      </c>
      <c r="D47" s="1438">
        <v>12000</v>
      </c>
      <c r="E47" s="1438"/>
      <c r="F47" s="829">
        <f t="shared" si="3"/>
        <v>0</v>
      </c>
      <c r="G47" s="829">
        <f t="shared" si="0"/>
        <v>24000</v>
      </c>
    </row>
    <row r="48" spans="1:7" hidden="1" x14ac:dyDescent="0.3">
      <c r="A48" s="1848"/>
      <c r="B48" s="862"/>
      <c r="C48" s="1438">
        <f>SUM(D48:E48)</f>
        <v>0</v>
      </c>
      <c r="D48" s="1439"/>
      <c r="E48" s="1440"/>
      <c r="F48" s="829">
        <f t="shared" si="3"/>
        <v>0</v>
      </c>
      <c r="G48" s="829">
        <f t="shared" si="0"/>
        <v>0</v>
      </c>
    </row>
    <row r="49" spans="1:7" hidden="1" x14ac:dyDescent="0.3">
      <c r="A49" s="1848"/>
      <c r="B49" s="862"/>
      <c r="C49" s="1438">
        <f>SUM(D49:E49)</f>
        <v>0</v>
      </c>
      <c r="D49" s="1439"/>
      <c r="E49" s="1440"/>
      <c r="F49" s="829">
        <f t="shared" si="3"/>
        <v>0</v>
      </c>
      <c r="G49" s="829">
        <f t="shared" si="0"/>
        <v>0</v>
      </c>
    </row>
    <row r="50" spans="1:7" hidden="1" x14ac:dyDescent="0.3">
      <c r="A50" s="1848"/>
      <c r="B50" s="862"/>
      <c r="C50" s="1438">
        <f>SUM(D50:E50)</f>
        <v>0</v>
      </c>
      <c r="D50" s="1439"/>
      <c r="E50" s="1440"/>
      <c r="F50" s="829">
        <f t="shared" si="3"/>
        <v>0</v>
      </c>
      <c r="G50" s="829">
        <f t="shared" si="0"/>
        <v>0</v>
      </c>
    </row>
    <row r="51" spans="1:7" x14ac:dyDescent="0.3">
      <c r="A51" s="1848"/>
      <c r="B51" s="862" t="s">
        <v>740</v>
      </c>
      <c r="C51" s="1438">
        <f>SUM(C41:C50)</f>
        <v>359160</v>
      </c>
      <c r="D51" s="1438">
        <f>SUM(D41:D50)</f>
        <v>169160</v>
      </c>
      <c r="E51" s="1438">
        <f>SUM(E41:E50)</f>
        <v>190000</v>
      </c>
      <c r="F51" s="829">
        <f t="shared" si="3"/>
        <v>0</v>
      </c>
      <c r="G51" s="829">
        <f t="shared" si="0"/>
        <v>718320</v>
      </c>
    </row>
    <row r="52" spans="1:7" ht="75" x14ac:dyDescent="0.3">
      <c r="A52" s="1848" t="s">
        <v>1072</v>
      </c>
      <c r="B52" s="507" t="s">
        <v>617</v>
      </c>
      <c r="C52" s="565">
        <f>207000+1480</f>
        <v>208480</v>
      </c>
      <c r="D52" s="565">
        <f>207000+1480</f>
        <v>208480</v>
      </c>
      <c r="E52" s="586"/>
      <c r="F52" s="829">
        <f t="shared" si="3"/>
        <v>0</v>
      </c>
      <c r="G52" s="829">
        <f t="shared" si="0"/>
        <v>416960</v>
      </c>
    </row>
    <row r="53" spans="1:7" ht="112.5" hidden="1" x14ac:dyDescent="0.3">
      <c r="A53" s="1848"/>
      <c r="B53" s="506" t="s">
        <v>618</v>
      </c>
      <c r="C53" s="1446"/>
      <c r="D53" s="1446"/>
      <c r="E53" s="586"/>
      <c r="F53" s="829">
        <f t="shared" si="3"/>
        <v>0</v>
      </c>
      <c r="G53" s="829">
        <f t="shared" si="0"/>
        <v>0</v>
      </c>
    </row>
    <row r="54" spans="1:7" ht="56.25" x14ac:dyDescent="0.3">
      <c r="A54" s="1848"/>
      <c r="B54" s="1121" t="s">
        <v>1293</v>
      </c>
      <c r="C54" s="1626">
        <v>40000</v>
      </c>
      <c r="D54" s="1622"/>
      <c r="E54" s="1440">
        <v>40000</v>
      </c>
      <c r="F54" s="829">
        <f t="shared" si="3"/>
        <v>0</v>
      </c>
      <c r="G54" s="829">
        <f t="shared" si="0"/>
        <v>80000</v>
      </c>
    </row>
    <row r="55" spans="1:7" ht="56.25" x14ac:dyDescent="0.3">
      <c r="A55" s="1848"/>
      <c r="B55" s="1121" t="s">
        <v>1294</v>
      </c>
      <c r="C55" s="1622">
        <v>50000</v>
      </c>
      <c r="D55" s="1622"/>
      <c r="E55" s="1440">
        <v>50000</v>
      </c>
      <c r="F55" s="829">
        <f t="shared" si="3"/>
        <v>0</v>
      </c>
      <c r="G55" s="829">
        <f t="shared" si="0"/>
        <v>100000</v>
      </c>
    </row>
    <row r="56" spans="1:7" ht="56.25" x14ac:dyDescent="0.3">
      <c r="A56" s="1848"/>
      <c r="B56" s="1121" t="s">
        <v>1295</v>
      </c>
      <c r="C56" s="1622">
        <v>50000</v>
      </c>
      <c r="D56" s="1622"/>
      <c r="E56" s="1440">
        <v>50000</v>
      </c>
      <c r="F56" s="829">
        <f t="shared" si="3"/>
        <v>0</v>
      </c>
      <c r="G56" s="829">
        <f t="shared" si="0"/>
        <v>100000</v>
      </c>
    </row>
    <row r="57" spans="1:7" ht="112.5" x14ac:dyDescent="0.3">
      <c r="A57" s="1848"/>
      <c r="B57" s="862" t="s">
        <v>1534</v>
      </c>
      <c r="C57" s="1438">
        <f>SUM(D57:E57)</f>
        <v>55650</v>
      </c>
      <c r="D57" s="1438">
        <v>55650</v>
      </c>
      <c r="E57" s="1440"/>
      <c r="F57" s="829">
        <f t="shared" si="3"/>
        <v>0</v>
      </c>
      <c r="G57" s="829">
        <f t="shared" si="0"/>
        <v>111300</v>
      </c>
    </row>
    <row r="58" spans="1:7" ht="37.5" x14ac:dyDescent="0.3">
      <c r="A58" s="1848"/>
      <c r="B58" s="1623" t="s">
        <v>2102</v>
      </c>
      <c r="C58" s="1624">
        <v>7800</v>
      </c>
      <c r="D58" s="1625">
        <v>7800</v>
      </c>
      <c r="E58" s="1625"/>
      <c r="F58" s="829">
        <f t="shared" si="3"/>
        <v>0</v>
      </c>
      <c r="G58" s="829">
        <f t="shared" si="0"/>
        <v>15600</v>
      </c>
    </row>
    <row r="59" spans="1:7" ht="37.5" x14ac:dyDescent="0.3">
      <c r="A59" s="1848"/>
      <c r="B59" s="1623" t="s">
        <v>2103</v>
      </c>
      <c r="C59" s="1624">
        <v>12500</v>
      </c>
      <c r="D59" s="1625">
        <v>12500</v>
      </c>
      <c r="E59" s="1625"/>
      <c r="F59" s="829">
        <f t="shared" si="3"/>
        <v>0</v>
      </c>
      <c r="G59" s="829">
        <f t="shared" si="0"/>
        <v>25000</v>
      </c>
    </row>
    <row r="60" spans="1:7" ht="56.25" x14ac:dyDescent="0.3">
      <c r="A60" s="1848"/>
      <c r="B60" s="1623" t="s">
        <v>2104</v>
      </c>
      <c r="C60" s="1624">
        <v>9700</v>
      </c>
      <c r="D60" s="1625">
        <v>9700</v>
      </c>
      <c r="E60" s="1625"/>
      <c r="F60" s="829">
        <f t="shared" si="3"/>
        <v>0</v>
      </c>
      <c r="G60" s="829">
        <f t="shared" si="0"/>
        <v>19400</v>
      </c>
    </row>
    <row r="61" spans="1:7" hidden="1" x14ac:dyDescent="0.3">
      <c r="A61" s="1848"/>
      <c r="B61" s="862"/>
      <c r="C61" s="1438">
        <f>SUM(D61:E61)</f>
        <v>0</v>
      </c>
      <c r="D61" s="1439"/>
      <c r="E61" s="1440"/>
      <c r="F61" s="829">
        <f t="shared" si="3"/>
        <v>0</v>
      </c>
      <c r="G61" s="829">
        <f t="shared" si="0"/>
        <v>0</v>
      </c>
    </row>
    <row r="62" spans="1:7" x14ac:dyDescent="0.3">
      <c r="A62" s="1848"/>
      <c r="B62" s="862" t="s">
        <v>740</v>
      </c>
      <c r="C62" s="1438">
        <f>SUM(C52:C61)</f>
        <v>434130</v>
      </c>
      <c r="D62" s="1438">
        <f>SUM(D52:D61)</f>
        <v>294130</v>
      </c>
      <c r="E62" s="1438">
        <f>SUM(E52:E61)</f>
        <v>140000</v>
      </c>
      <c r="F62" s="829">
        <f>E62+D62-C62</f>
        <v>0</v>
      </c>
      <c r="G62" s="829">
        <f t="shared" si="0"/>
        <v>868260</v>
      </c>
    </row>
    <row r="63" spans="1:7" ht="75" hidden="1" x14ac:dyDescent="0.3">
      <c r="A63" s="1848" t="s">
        <v>1073</v>
      </c>
      <c r="B63" s="507" t="s">
        <v>617</v>
      </c>
      <c r="C63" s="565">
        <f>5800-5800</f>
        <v>0</v>
      </c>
      <c r="D63" s="565">
        <f>5800-5800</f>
        <v>0</v>
      </c>
      <c r="E63" s="586"/>
      <c r="F63" s="829">
        <f t="shared" si="3"/>
        <v>0</v>
      </c>
      <c r="G63" s="829">
        <f t="shared" si="0"/>
        <v>0</v>
      </c>
    </row>
    <row r="64" spans="1:7" ht="37.5" x14ac:dyDescent="0.3">
      <c r="A64" s="1848"/>
      <c r="B64" s="1121" t="s">
        <v>1296</v>
      </c>
      <c r="C64" s="1622">
        <v>50000</v>
      </c>
      <c r="D64" s="1622"/>
      <c r="E64" s="1440">
        <v>50000</v>
      </c>
      <c r="F64" s="829">
        <f>E64+D64-C64</f>
        <v>0</v>
      </c>
      <c r="G64" s="829">
        <f t="shared" si="0"/>
        <v>100000</v>
      </c>
    </row>
    <row r="65" spans="1:7" ht="75" x14ac:dyDescent="0.3">
      <c r="A65" s="1848"/>
      <c r="B65" s="1612" t="s">
        <v>2105</v>
      </c>
      <c r="C65" s="1625">
        <v>10000</v>
      </c>
      <c r="D65" s="1625">
        <v>10000</v>
      </c>
      <c r="E65" s="1625"/>
      <c r="F65" s="829">
        <f t="shared" si="3"/>
        <v>0</v>
      </c>
      <c r="G65" s="829">
        <f t="shared" si="0"/>
        <v>20000</v>
      </c>
    </row>
    <row r="66" spans="1:7" hidden="1" x14ac:dyDescent="0.3">
      <c r="A66" s="1848"/>
      <c r="B66" s="862"/>
      <c r="C66" s="1438">
        <f t="shared" ref="C66:C72" si="5">SUM(D66:E66)</f>
        <v>0</v>
      </c>
      <c r="D66" s="1439"/>
      <c r="E66" s="1440"/>
      <c r="F66" s="829">
        <f t="shared" si="3"/>
        <v>0</v>
      </c>
      <c r="G66" s="829">
        <f t="shared" si="0"/>
        <v>0</v>
      </c>
    </row>
    <row r="67" spans="1:7" hidden="1" x14ac:dyDescent="0.3">
      <c r="A67" s="1848"/>
      <c r="B67" s="862"/>
      <c r="C67" s="1438">
        <f t="shared" si="5"/>
        <v>0</v>
      </c>
      <c r="D67" s="1439"/>
      <c r="E67" s="1440"/>
      <c r="F67" s="829">
        <f t="shared" si="3"/>
        <v>0</v>
      </c>
      <c r="G67" s="829">
        <f t="shared" si="0"/>
        <v>0</v>
      </c>
    </row>
    <row r="68" spans="1:7" hidden="1" x14ac:dyDescent="0.3">
      <c r="A68" s="1848"/>
      <c r="B68" s="862"/>
      <c r="C68" s="1438">
        <f t="shared" si="5"/>
        <v>0</v>
      </c>
      <c r="D68" s="1439"/>
      <c r="E68" s="1440"/>
      <c r="F68" s="829">
        <f t="shared" si="3"/>
        <v>0</v>
      </c>
      <c r="G68" s="829">
        <f t="shared" si="0"/>
        <v>0</v>
      </c>
    </row>
    <row r="69" spans="1:7" hidden="1" x14ac:dyDescent="0.3">
      <c r="A69" s="1848"/>
      <c r="B69" s="862"/>
      <c r="C69" s="1438">
        <f t="shared" si="5"/>
        <v>0</v>
      </c>
      <c r="D69" s="1439"/>
      <c r="E69" s="1440"/>
      <c r="F69" s="829">
        <f t="shared" si="3"/>
        <v>0</v>
      </c>
      <c r="G69" s="829">
        <f t="shared" si="0"/>
        <v>0</v>
      </c>
    </row>
    <row r="70" spans="1:7" hidden="1" x14ac:dyDescent="0.3">
      <c r="A70" s="1848"/>
      <c r="B70" s="862"/>
      <c r="C70" s="1438">
        <f t="shared" si="5"/>
        <v>0</v>
      </c>
      <c r="D70" s="1439"/>
      <c r="E70" s="1440"/>
      <c r="F70" s="829">
        <f t="shared" si="3"/>
        <v>0</v>
      </c>
      <c r="G70" s="829">
        <f t="shared" si="0"/>
        <v>0</v>
      </c>
    </row>
    <row r="71" spans="1:7" hidden="1" x14ac:dyDescent="0.3">
      <c r="A71" s="1848"/>
      <c r="B71" s="862"/>
      <c r="C71" s="1438">
        <f t="shared" si="5"/>
        <v>0</v>
      </c>
      <c r="D71" s="1439"/>
      <c r="E71" s="1440"/>
      <c r="F71" s="829">
        <f t="shared" si="3"/>
        <v>0</v>
      </c>
      <c r="G71" s="829">
        <f t="shared" si="0"/>
        <v>0</v>
      </c>
    </row>
    <row r="72" spans="1:7" hidden="1" x14ac:dyDescent="0.3">
      <c r="A72" s="1848"/>
      <c r="B72" s="862"/>
      <c r="C72" s="1438">
        <f t="shared" si="5"/>
        <v>0</v>
      </c>
      <c r="D72" s="1439"/>
      <c r="E72" s="1440"/>
      <c r="F72" s="829">
        <f t="shared" si="3"/>
        <v>0</v>
      </c>
      <c r="G72" s="829">
        <f t="shared" si="0"/>
        <v>0</v>
      </c>
    </row>
    <row r="73" spans="1:7" x14ac:dyDescent="0.3">
      <c r="A73" s="1848"/>
      <c r="B73" s="862" t="s">
        <v>740</v>
      </c>
      <c r="C73" s="1438">
        <f>SUM(C63:C72)</f>
        <v>60000</v>
      </c>
      <c r="D73" s="1438">
        <f>SUM(D63:D72)</f>
        <v>10000</v>
      </c>
      <c r="E73" s="1438">
        <f>SUM(E63:E72)</f>
        <v>50000</v>
      </c>
      <c r="F73" s="829">
        <f t="shared" si="3"/>
        <v>0</v>
      </c>
      <c r="G73" s="829">
        <f t="shared" ref="G73:G136" si="6">SUM(C73:E73)</f>
        <v>120000</v>
      </c>
    </row>
    <row r="74" spans="1:7" ht="75" x14ac:dyDescent="0.3">
      <c r="A74" s="1848" t="s">
        <v>1074</v>
      </c>
      <c r="B74" s="507" t="s">
        <v>617</v>
      </c>
      <c r="C74" s="565">
        <v>11500</v>
      </c>
      <c r="D74" s="565">
        <v>11500</v>
      </c>
      <c r="E74" s="586"/>
      <c r="F74" s="829">
        <f t="shared" si="3"/>
        <v>0</v>
      </c>
      <c r="G74" s="829">
        <f t="shared" si="6"/>
        <v>23000</v>
      </c>
    </row>
    <row r="75" spans="1:7" ht="37.5" x14ac:dyDescent="0.3">
      <c r="A75" s="1848"/>
      <c r="B75" s="1118" t="s">
        <v>1310</v>
      </c>
      <c r="C75" s="1439">
        <v>100000</v>
      </c>
      <c r="D75" s="1439"/>
      <c r="E75" s="1439">
        <v>100000</v>
      </c>
      <c r="F75" s="829">
        <f t="shared" si="3"/>
        <v>0</v>
      </c>
      <c r="G75" s="829">
        <f t="shared" si="6"/>
        <v>200000</v>
      </c>
    </row>
    <row r="76" spans="1:7" s="435" customFormat="1" ht="37.5" x14ac:dyDescent="0.3">
      <c r="A76" s="1848"/>
      <c r="B76" s="862" t="s">
        <v>1580</v>
      </c>
      <c r="C76" s="1457">
        <v>100000</v>
      </c>
      <c r="D76" s="1457">
        <v>100000</v>
      </c>
      <c r="E76" s="1457"/>
      <c r="F76" s="829">
        <f t="shared" si="3"/>
        <v>0</v>
      </c>
      <c r="G76" s="829">
        <f t="shared" si="6"/>
        <v>200000</v>
      </c>
    </row>
    <row r="77" spans="1:7" s="435" customFormat="1" ht="56.25" x14ac:dyDescent="0.3">
      <c r="A77" s="1848"/>
      <c r="B77" s="506" t="s">
        <v>2003</v>
      </c>
      <c r="C77" s="882">
        <v>49900</v>
      </c>
      <c r="D77" s="882">
        <v>49900</v>
      </c>
      <c r="E77" s="882"/>
      <c r="F77" s="829">
        <f t="shared" si="3"/>
        <v>0</v>
      </c>
      <c r="G77" s="829">
        <f t="shared" si="6"/>
        <v>99800</v>
      </c>
    </row>
    <row r="78" spans="1:7" s="435" customFormat="1" ht="37.5" x14ac:dyDescent="0.3">
      <c r="A78" s="1848"/>
      <c r="B78" s="862" t="s">
        <v>2005</v>
      </c>
      <c r="C78" s="1627">
        <v>49900</v>
      </c>
      <c r="D78" s="1627">
        <v>49900</v>
      </c>
      <c r="E78" s="1627"/>
      <c r="F78" s="829">
        <f t="shared" si="3"/>
        <v>0</v>
      </c>
      <c r="G78" s="829">
        <f t="shared" si="6"/>
        <v>99800</v>
      </c>
    </row>
    <row r="79" spans="1:7" s="435" customFormat="1" ht="37.5" x14ac:dyDescent="0.3">
      <c r="A79" s="1848"/>
      <c r="B79" s="1628" t="s">
        <v>2106</v>
      </c>
      <c r="C79" s="1625">
        <v>49900</v>
      </c>
      <c r="D79" s="1625">
        <v>49900</v>
      </c>
      <c r="E79" s="1625"/>
      <c r="F79" s="829">
        <f t="shared" si="3"/>
        <v>0</v>
      </c>
      <c r="G79" s="829">
        <f t="shared" si="6"/>
        <v>99800</v>
      </c>
    </row>
    <row r="80" spans="1:7" s="435" customFormat="1" hidden="1" x14ac:dyDescent="0.3">
      <c r="A80" s="1848"/>
      <c r="B80" s="862"/>
      <c r="C80" s="1438">
        <f>SUM(D80:E80)</f>
        <v>0</v>
      </c>
      <c r="D80" s="1439"/>
      <c r="E80" s="1440"/>
      <c r="F80" s="829">
        <f t="shared" ref="F80:F160" si="7">E80+D80-C80</f>
        <v>0</v>
      </c>
      <c r="G80" s="829">
        <f t="shared" si="6"/>
        <v>0</v>
      </c>
    </row>
    <row r="81" spans="1:7" s="435" customFormat="1" hidden="1" x14ac:dyDescent="0.3">
      <c r="A81" s="1848"/>
      <c r="B81" s="862"/>
      <c r="C81" s="1438">
        <f>SUM(D81:E81)</f>
        <v>0</v>
      </c>
      <c r="D81" s="1439"/>
      <c r="E81" s="1440"/>
      <c r="F81" s="829">
        <f t="shared" si="7"/>
        <v>0</v>
      </c>
      <c r="G81" s="829">
        <f t="shared" si="6"/>
        <v>0</v>
      </c>
    </row>
    <row r="82" spans="1:7" s="435" customFormat="1" hidden="1" x14ac:dyDescent="0.3">
      <c r="A82" s="1848"/>
      <c r="B82" s="862"/>
      <c r="C82" s="1438">
        <f>SUM(D82:E82)</f>
        <v>0</v>
      </c>
      <c r="D82" s="1439"/>
      <c r="E82" s="1440"/>
      <c r="F82" s="829">
        <f t="shared" si="7"/>
        <v>0</v>
      </c>
      <c r="G82" s="829">
        <f t="shared" si="6"/>
        <v>0</v>
      </c>
    </row>
    <row r="83" spans="1:7" s="435" customFormat="1" hidden="1" x14ac:dyDescent="0.3">
      <c r="A83" s="1848"/>
      <c r="B83" s="862"/>
      <c r="C83" s="1438">
        <f>SUM(D83:E83)</f>
        <v>0</v>
      </c>
      <c r="D83" s="1439"/>
      <c r="E83" s="1440"/>
      <c r="F83" s="829">
        <f t="shared" si="7"/>
        <v>0</v>
      </c>
      <c r="G83" s="829">
        <f t="shared" si="6"/>
        <v>0</v>
      </c>
    </row>
    <row r="84" spans="1:7" s="435" customFormat="1" x14ac:dyDescent="0.3">
      <c r="A84" s="1848"/>
      <c r="B84" s="862" t="s">
        <v>740</v>
      </c>
      <c r="C84" s="1438">
        <f>SUM(C74:C83)</f>
        <v>361200</v>
      </c>
      <c r="D84" s="1438">
        <f>SUM(D74:D83)</f>
        <v>261200</v>
      </c>
      <c r="E84" s="1438">
        <f>SUM(E74:E83)</f>
        <v>100000</v>
      </c>
      <c r="F84" s="829">
        <f t="shared" si="7"/>
        <v>0</v>
      </c>
      <c r="G84" s="829">
        <f t="shared" si="6"/>
        <v>722400</v>
      </c>
    </row>
    <row r="85" spans="1:7" s="435" customFormat="1" ht="75" x14ac:dyDescent="0.3">
      <c r="A85" s="1848" t="s">
        <v>1075</v>
      </c>
      <c r="B85" s="507" t="s">
        <v>617</v>
      </c>
      <c r="C85" s="565">
        <v>5200</v>
      </c>
      <c r="D85" s="565">
        <v>5200</v>
      </c>
      <c r="E85" s="586"/>
      <c r="F85" s="829">
        <f t="shared" si="7"/>
        <v>0</v>
      </c>
      <c r="G85" s="829">
        <f t="shared" si="6"/>
        <v>10400</v>
      </c>
    </row>
    <row r="86" spans="1:7" s="435" customFormat="1" ht="93.75" x14ac:dyDescent="0.3">
      <c r="A86" s="1848"/>
      <c r="B86" s="1118" t="s">
        <v>1341</v>
      </c>
      <c r="C86" s="1439">
        <v>100000</v>
      </c>
      <c r="D86" s="1439">
        <v>20000</v>
      </c>
      <c r="E86" s="1439">
        <v>80000</v>
      </c>
      <c r="F86" s="829">
        <f t="shared" si="7"/>
        <v>0</v>
      </c>
      <c r="G86" s="829">
        <f t="shared" si="6"/>
        <v>200000</v>
      </c>
    </row>
    <row r="87" spans="1:7" s="435" customFormat="1" ht="75" x14ac:dyDescent="0.3">
      <c r="A87" s="1848"/>
      <c r="B87" s="862" t="s">
        <v>1556</v>
      </c>
      <c r="C87" s="565">
        <v>70000</v>
      </c>
      <c r="D87" s="565"/>
      <c r="E87" s="586">
        <v>70000</v>
      </c>
      <c r="F87" s="829">
        <f t="shared" si="7"/>
        <v>0</v>
      </c>
      <c r="G87" s="829">
        <f t="shared" si="6"/>
        <v>140000</v>
      </c>
    </row>
    <row r="88" spans="1:7" s="435" customFormat="1" ht="56.25" x14ac:dyDescent="0.3">
      <c r="A88" s="1848"/>
      <c r="B88" s="862" t="s">
        <v>1821</v>
      </c>
      <c r="C88" s="565">
        <v>50000</v>
      </c>
      <c r="D88" s="565">
        <v>15000</v>
      </c>
      <c r="E88" s="586">
        <v>35000</v>
      </c>
      <c r="F88" s="829">
        <f t="shared" si="7"/>
        <v>0</v>
      </c>
      <c r="G88" s="829">
        <f t="shared" si="6"/>
        <v>100000</v>
      </c>
    </row>
    <row r="89" spans="1:7" s="435" customFormat="1" ht="56.25" x14ac:dyDescent="0.3">
      <c r="A89" s="1848"/>
      <c r="B89" s="862" t="s">
        <v>1581</v>
      </c>
      <c r="C89" s="1438">
        <v>80000</v>
      </c>
      <c r="D89" s="1438">
        <v>80000</v>
      </c>
      <c r="E89" s="892"/>
      <c r="F89" s="829">
        <f t="shared" si="7"/>
        <v>0</v>
      </c>
      <c r="G89" s="829">
        <f t="shared" si="6"/>
        <v>160000</v>
      </c>
    </row>
    <row r="90" spans="1:7" s="435" customFormat="1" ht="37.5" x14ac:dyDescent="0.3">
      <c r="A90" s="1848"/>
      <c r="B90" s="506" t="s">
        <v>1582</v>
      </c>
      <c r="C90" s="1457">
        <v>200000</v>
      </c>
      <c r="D90" s="1457">
        <v>200000</v>
      </c>
      <c r="E90" s="1629"/>
      <c r="F90" s="829">
        <f t="shared" si="7"/>
        <v>0</v>
      </c>
      <c r="G90" s="829">
        <f t="shared" si="6"/>
        <v>400000</v>
      </c>
    </row>
    <row r="91" spans="1:7" s="435" customFormat="1" ht="56.25" x14ac:dyDescent="0.3">
      <c r="A91" s="1848"/>
      <c r="B91" s="862" t="s">
        <v>1583</v>
      </c>
      <c r="C91" s="565">
        <v>50000</v>
      </c>
      <c r="D91" s="1457">
        <v>50000</v>
      </c>
      <c r="E91" s="892"/>
      <c r="F91" s="829">
        <f t="shared" si="7"/>
        <v>0</v>
      </c>
      <c r="G91" s="829">
        <f t="shared" si="6"/>
        <v>100000</v>
      </c>
    </row>
    <row r="92" spans="1:7" s="435" customFormat="1" ht="56.25" x14ac:dyDescent="0.3">
      <c r="A92" s="1848"/>
      <c r="B92" s="862" t="s">
        <v>1584</v>
      </c>
      <c r="C92" s="565">
        <v>50000</v>
      </c>
      <c r="D92" s="1457">
        <v>50000</v>
      </c>
      <c r="E92" s="892"/>
      <c r="F92" s="829">
        <f t="shared" si="7"/>
        <v>0</v>
      </c>
      <c r="G92" s="829">
        <f t="shared" si="6"/>
        <v>100000</v>
      </c>
    </row>
    <row r="93" spans="1:7" s="435" customFormat="1" ht="37.5" x14ac:dyDescent="0.3">
      <c r="A93" s="1848"/>
      <c r="B93" s="862" t="s">
        <v>1894</v>
      </c>
      <c r="C93" s="882">
        <v>50000</v>
      </c>
      <c r="D93" s="882">
        <v>9000</v>
      </c>
      <c r="E93" s="883">
        <v>41000</v>
      </c>
      <c r="F93" s="829">
        <f t="shared" si="7"/>
        <v>0</v>
      </c>
      <c r="G93" s="829">
        <f t="shared" si="6"/>
        <v>100000</v>
      </c>
    </row>
    <row r="94" spans="1:7" s="435" customFormat="1" hidden="1" x14ac:dyDescent="0.3">
      <c r="A94" s="1848"/>
      <c r="B94" s="862"/>
      <c r="C94" s="1438">
        <f>SUM(D94:E94)</f>
        <v>0</v>
      </c>
      <c r="D94" s="1439"/>
      <c r="E94" s="1440"/>
      <c r="F94" s="829">
        <f t="shared" si="7"/>
        <v>0</v>
      </c>
      <c r="G94" s="829">
        <f t="shared" si="6"/>
        <v>0</v>
      </c>
    </row>
    <row r="95" spans="1:7" s="435" customFormat="1" x14ac:dyDescent="0.3">
      <c r="A95" s="1848"/>
      <c r="B95" s="862" t="s">
        <v>740</v>
      </c>
      <c r="C95" s="1438">
        <f>SUM(C85:C94)</f>
        <v>655200</v>
      </c>
      <c r="D95" s="1438">
        <f>SUM(D85:D94)</f>
        <v>429200</v>
      </c>
      <c r="E95" s="1438">
        <f>SUM(E85:E94)</f>
        <v>226000</v>
      </c>
      <c r="F95" s="829">
        <f t="shared" si="7"/>
        <v>0</v>
      </c>
      <c r="G95" s="829">
        <f t="shared" si="6"/>
        <v>1310400</v>
      </c>
    </row>
    <row r="96" spans="1:7" s="435" customFormat="1" ht="75" x14ac:dyDescent="0.3">
      <c r="A96" s="1848" t="s">
        <v>1076</v>
      </c>
      <c r="B96" s="507" t="s">
        <v>617</v>
      </c>
      <c r="C96" s="1454">
        <v>2200</v>
      </c>
      <c r="D96" s="565">
        <v>2200</v>
      </c>
      <c r="E96" s="586"/>
      <c r="F96" s="829">
        <f t="shared" si="7"/>
        <v>0</v>
      </c>
      <c r="G96" s="829">
        <f t="shared" si="6"/>
        <v>4400</v>
      </c>
    </row>
    <row r="97" spans="1:7" s="435" customFormat="1" hidden="1" x14ac:dyDescent="0.3">
      <c r="A97" s="1848"/>
      <c r="B97" s="862"/>
      <c r="C97" s="1438">
        <f t="shared" ref="C97:C105" si="8">SUM(D97:E97)</f>
        <v>0</v>
      </c>
      <c r="D97" s="1439"/>
      <c r="E97" s="1440"/>
      <c r="F97" s="829">
        <f t="shared" si="7"/>
        <v>0</v>
      </c>
      <c r="G97" s="829">
        <f t="shared" si="6"/>
        <v>0</v>
      </c>
    </row>
    <row r="98" spans="1:7" s="435" customFormat="1" hidden="1" x14ac:dyDescent="0.3">
      <c r="A98" s="1848"/>
      <c r="B98" s="862"/>
      <c r="C98" s="1438">
        <f t="shared" si="8"/>
        <v>0</v>
      </c>
      <c r="D98" s="1439"/>
      <c r="E98" s="1440"/>
      <c r="F98" s="829">
        <f t="shared" si="7"/>
        <v>0</v>
      </c>
      <c r="G98" s="829">
        <f t="shared" si="6"/>
        <v>0</v>
      </c>
    </row>
    <row r="99" spans="1:7" s="435" customFormat="1" hidden="1" x14ac:dyDescent="0.3">
      <c r="A99" s="1848"/>
      <c r="B99" s="862"/>
      <c r="C99" s="1438">
        <f t="shared" si="8"/>
        <v>0</v>
      </c>
      <c r="D99" s="1439"/>
      <c r="E99" s="1440"/>
      <c r="F99" s="829">
        <f t="shared" si="7"/>
        <v>0</v>
      </c>
      <c r="G99" s="829">
        <f t="shared" si="6"/>
        <v>0</v>
      </c>
    </row>
    <row r="100" spans="1:7" s="435" customFormat="1" hidden="1" x14ac:dyDescent="0.3">
      <c r="A100" s="1848"/>
      <c r="B100" s="862"/>
      <c r="C100" s="1438">
        <f t="shared" si="8"/>
        <v>0</v>
      </c>
      <c r="D100" s="1439"/>
      <c r="E100" s="1440"/>
      <c r="F100" s="829">
        <f t="shared" si="7"/>
        <v>0</v>
      </c>
      <c r="G100" s="829">
        <f t="shared" si="6"/>
        <v>0</v>
      </c>
    </row>
    <row r="101" spans="1:7" s="435" customFormat="1" hidden="1" x14ac:dyDescent="0.3">
      <c r="A101" s="1848"/>
      <c r="B101" s="862"/>
      <c r="C101" s="1438">
        <f t="shared" si="8"/>
        <v>0</v>
      </c>
      <c r="D101" s="1439"/>
      <c r="E101" s="1440"/>
      <c r="F101" s="829">
        <f t="shared" si="7"/>
        <v>0</v>
      </c>
      <c r="G101" s="829">
        <f t="shared" si="6"/>
        <v>0</v>
      </c>
    </row>
    <row r="102" spans="1:7" s="435" customFormat="1" hidden="1" x14ac:dyDescent="0.3">
      <c r="A102" s="1848"/>
      <c r="B102" s="862"/>
      <c r="C102" s="1438">
        <f t="shared" si="8"/>
        <v>0</v>
      </c>
      <c r="D102" s="1439"/>
      <c r="E102" s="1440"/>
      <c r="F102" s="829">
        <f t="shared" si="7"/>
        <v>0</v>
      </c>
      <c r="G102" s="829">
        <f t="shared" si="6"/>
        <v>0</v>
      </c>
    </row>
    <row r="103" spans="1:7" s="435" customFormat="1" hidden="1" x14ac:dyDescent="0.3">
      <c r="A103" s="1848"/>
      <c r="B103" s="862"/>
      <c r="C103" s="1438">
        <f t="shared" si="8"/>
        <v>0</v>
      </c>
      <c r="D103" s="1439"/>
      <c r="E103" s="1440"/>
      <c r="F103" s="829">
        <f t="shared" si="7"/>
        <v>0</v>
      </c>
      <c r="G103" s="829">
        <f t="shared" si="6"/>
        <v>0</v>
      </c>
    </row>
    <row r="104" spans="1:7" s="435" customFormat="1" hidden="1" x14ac:dyDescent="0.3">
      <c r="A104" s="1848"/>
      <c r="B104" s="862"/>
      <c r="C104" s="1438">
        <f t="shared" si="8"/>
        <v>0</v>
      </c>
      <c r="D104" s="1439"/>
      <c r="E104" s="1440"/>
      <c r="F104" s="829">
        <f t="shared" si="7"/>
        <v>0</v>
      </c>
      <c r="G104" s="829">
        <f t="shared" si="6"/>
        <v>0</v>
      </c>
    </row>
    <row r="105" spans="1:7" s="435" customFormat="1" hidden="1" x14ac:dyDescent="0.3">
      <c r="A105" s="1848"/>
      <c r="B105" s="862"/>
      <c r="C105" s="1438">
        <f t="shared" si="8"/>
        <v>0</v>
      </c>
      <c r="D105" s="1439"/>
      <c r="E105" s="1440"/>
      <c r="F105" s="829">
        <f t="shared" si="7"/>
        <v>0</v>
      </c>
      <c r="G105" s="829">
        <f t="shared" si="6"/>
        <v>0</v>
      </c>
    </row>
    <row r="106" spans="1:7" s="435" customFormat="1" x14ac:dyDescent="0.3">
      <c r="A106" s="1848"/>
      <c r="B106" s="862" t="s">
        <v>740</v>
      </c>
      <c r="C106" s="1438">
        <f>SUM(C96:C105)</f>
        <v>2200</v>
      </c>
      <c r="D106" s="1438">
        <f>SUM(D96:D105)</f>
        <v>2200</v>
      </c>
      <c r="E106" s="1438">
        <f>SUM(E96:E105)</f>
        <v>0</v>
      </c>
      <c r="F106" s="829">
        <f t="shared" si="7"/>
        <v>0</v>
      </c>
      <c r="G106" s="829">
        <f t="shared" si="6"/>
        <v>4400</v>
      </c>
    </row>
    <row r="107" spans="1:7" s="435" customFormat="1" ht="75" x14ac:dyDescent="0.3">
      <c r="A107" s="1848" t="s">
        <v>1077</v>
      </c>
      <c r="B107" s="507" t="s">
        <v>617</v>
      </c>
      <c r="C107" s="586">
        <v>13000</v>
      </c>
      <c r="D107" s="586">
        <v>13000</v>
      </c>
      <c r="E107" s="586"/>
      <c r="F107" s="829">
        <f t="shared" si="7"/>
        <v>0</v>
      </c>
      <c r="G107" s="829">
        <f t="shared" si="6"/>
        <v>26000</v>
      </c>
    </row>
    <row r="108" spans="1:7" s="435" customFormat="1" ht="75" x14ac:dyDescent="0.3">
      <c r="A108" s="1848"/>
      <c r="B108" s="1630" t="s">
        <v>1492</v>
      </c>
      <c r="C108" s="565">
        <v>8000</v>
      </c>
      <c r="D108" s="565">
        <v>8000</v>
      </c>
      <c r="E108" s="586"/>
      <c r="F108" s="829">
        <f t="shared" si="7"/>
        <v>0</v>
      </c>
      <c r="G108" s="829">
        <f t="shared" si="6"/>
        <v>16000</v>
      </c>
    </row>
    <row r="109" spans="1:7" s="435" customFormat="1" ht="93.75" x14ac:dyDescent="0.3">
      <c r="A109" s="1848"/>
      <c r="B109" s="862" t="s">
        <v>2006</v>
      </c>
      <c r="C109" s="1627">
        <v>28956</v>
      </c>
      <c r="D109" s="1627">
        <v>28956</v>
      </c>
      <c r="E109" s="1627"/>
      <c r="F109" s="829">
        <f t="shared" si="7"/>
        <v>0</v>
      </c>
      <c r="G109" s="829">
        <f t="shared" si="6"/>
        <v>57912</v>
      </c>
    </row>
    <row r="110" spans="1:7" s="435" customFormat="1" ht="93.75" x14ac:dyDescent="0.3">
      <c r="A110" s="1848"/>
      <c r="B110" s="862" t="s">
        <v>2007</v>
      </c>
      <c r="C110" s="1627">
        <v>50000</v>
      </c>
      <c r="D110" s="1627">
        <v>50000</v>
      </c>
      <c r="E110" s="1627"/>
      <c r="F110" s="829">
        <f t="shared" si="7"/>
        <v>0</v>
      </c>
      <c r="G110" s="829">
        <f t="shared" si="6"/>
        <v>100000</v>
      </c>
    </row>
    <row r="111" spans="1:7" s="435" customFormat="1" ht="93.75" x14ac:dyDescent="0.3">
      <c r="A111" s="1848"/>
      <c r="B111" s="1628" t="s">
        <v>2107</v>
      </c>
      <c r="C111" s="1625">
        <v>91044</v>
      </c>
      <c r="D111" s="1625">
        <v>91044</v>
      </c>
      <c r="E111" s="1625"/>
      <c r="F111" s="829">
        <f t="shared" si="7"/>
        <v>0</v>
      </c>
      <c r="G111" s="829">
        <f t="shared" si="6"/>
        <v>182088</v>
      </c>
    </row>
    <row r="112" spans="1:7" s="435" customFormat="1" hidden="1" x14ac:dyDescent="0.3">
      <c r="A112" s="1848"/>
      <c r="B112" s="862"/>
      <c r="C112" s="1438">
        <f>SUM(D112:E112)</f>
        <v>0</v>
      </c>
      <c r="D112" s="1439"/>
      <c r="E112" s="1440"/>
      <c r="F112" s="829">
        <f t="shared" si="7"/>
        <v>0</v>
      </c>
      <c r="G112" s="829">
        <f t="shared" si="6"/>
        <v>0</v>
      </c>
    </row>
    <row r="113" spans="1:7" s="435" customFormat="1" hidden="1" x14ac:dyDescent="0.3">
      <c r="A113" s="1848"/>
      <c r="B113" s="862"/>
      <c r="C113" s="1438">
        <f>SUM(D113:E113)</f>
        <v>0</v>
      </c>
      <c r="D113" s="1439"/>
      <c r="E113" s="1440"/>
      <c r="F113" s="829">
        <f t="shared" si="7"/>
        <v>0</v>
      </c>
      <c r="G113" s="829">
        <f t="shared" si="6"/>
        <v>0</v>
      </c>
    </row>
    <row r="114" spans="1:7" s="435" customFormat="1" hidden="1" x14ac:dyDescent="0.3">
      <c r="A114" s="1848"/>
      <c r="B114" s="862"/>
      <c r="C114" s="1438">
        <f>SUM(D114:E114)</f>
        <v>0</v>
      </c>
      <c r="D114" s="1439"/>
      <c r="E114" s="1440"/>
      <c r="F114" s="829">
        <f t="shared" si="7"/>
        <v>0</v>
      </c>
      <c r="G114" s="829">
        <f t="shared" si="6"/>
        <v>0</v>
      </c>
    </row>
    <row r="115" spans="1:7" s="435" customFormat="1" hidden="1" x14ac:dyDescent="0.3">
      <c r="A115" s="1848"/>
      <c r="B115" s="862"/>
      <c r="C115" s="1438">
        <f>SUM(D115:E115)</f>
        <v>0</v>
      </c>
      <c r="D115" s="1439"/>
      <c r="E115" s="1440"/>
      <c r="F115" s="829">
        <f t="shared" si="7"/>
        <v>0</v>
      </c>
      <c r="G115" s="829">
        <f t="shared" si="6"/>
        <v>0</v>
      </c>
    </row>
    <row r="116" spans="1:7" s="435" customFormat="1" hidden="1" x14ac:dyDescent="0.3">
      <c r="A116" s="1848"/>
      <c r="B116" s="862"/>
      <c r="C116" s="1438">
        <f>SUM(D116:E116)</f>
        <v>0</v>
      </c>
      <c r="D116" s="1439"/>
      <c r="E116" s="1440"/>
      <c r="F116" s="829">
        <f t="shared" si="7"/>
        <v>0</v>
      </c>
      <c r="G116" s="829">
        <f t="shared" si="6"/>
        <v>0</v>
      </c>
    </row>
    <row r="117" spans="1:7" s="435" customFormat="1" x14ac:dyDescent="0.3">
      <c r="A117" s="1848"/>
      <c r="B117" s="862" t="s">
        <v>740</v>
      </c>
      <c r="C117" s="1438">
        <f>SUM(C107:C116)</f>
        <v>191000</v>
      </c>
      <c r="D117" s="1438">
        <f>SUM(D107:D116)</f>
        <v>191000</v>
      </c>
      <c r="E117" s="1438">
        <f>SUM(E107:E116)</f>
        <v>0</v>
      </c>
      <c r="F117" s="829">
        <f>E117+D117-C117</f>
        <v>0</v>
      </c>
      <c r="G117" s="829">
        <f t="shared" si="6"/>
        <v>382000</v>
      </c>
    </row>
    <row r="118" spans="1:7" s="435" customFormat="1" ht="112.5" hidden="1" x14ac:dyDescent="0.3">
      <c r="A118" s="1848" t="s">
        <v>1078</v>
      </c>
      <c r="B118" s="506" t="s">
        <v>618</v>
      </c>
      <c r="C118" s="1446"/>
      <c r="D118" s="1446"/>
      <c r="E118" s="1446"/>
      <c r="F118" s="829">
        <f t="shared" si="7"/>
        <v>0</v>
      </c>
      <c r="G118" s="829">
        <f t="shared" si="6"/>
        <v>0</v>
      </c>
    </row>
    <row r="119" spans="1:7" s="435" customFormat="1" ht="75" x14ac:dyDescent="0.3">
      <c r="A119" s="1848"/>
      <c r="B119" s="507" t="s">
        <v>617</v>
      </c>
      <c r="C119" s="1117">
        <v>14600</v>
      </c>
      <c r="D119" s="1117">
        <v>14600</v>
      </c>
      <c r="E119" s="1117"/>
      <c r="F119" s="829">
        <f t="shared" si="7"/>
        <v>0</v>
      </c>
      <c r="G119" s="829">
        <f t="shared" si="6"/>
        <v>29200</v>
      </c>
    </row>
    <row r="120" spans="1:7" s="435" customFormat="1" ht="75" x14ac:dyDescent="0.3">
      <c r="A120" s="1848"/>
      <c r="B120" s="1118" t="s">
        <v>1218</v>
      </c>
      <c r="C120" s="1439">
        <v>100000</v>
      </c>
      <c r="D120" s="1439"/>
      <c r="E120" s="1439">
        <v>100000</v>
      </c>
      <c r="F120" s="829">
        <f t="shared" si="7"/>
        <v>0</v>
      </c>
      <c r="G120" s="829">
        <f t="shared" si="6"/>
        <v>200000</v>
      </c>
    </row>
    <row r="121" spans="1:7" s="435" customFormat="1" ht="56.25" x14ac:dyDescent="0.3">
      <c r="A121" s="1848"/>
      <c r="B121" s="1118" t="s">
        <v>1219</v>
      </c>
      <c r="C121" s="1439">
        <v>50000</v>
      </c>
      <c r="D121" s="1439"/>
      <c r="E121" s="1439">
        <v>50000</v>
      </c>
      <c r="F121" s="829">
        <f t="shared" si="7"/>
        <v>0</v>
      </c>
      <c r="G121" s="829">
        <f t="shared" si="6"/>
        <v>100000</v>
      </c>
    </row>
    <row r="122" spans="1:7" s="435" customFormat="1" ht="75" x14ac:dyDescent="0.3">
      <c r="A122" s="1848"/>
      <c r="B122" s="506" t="s">
        <v>1886</v>
      </c>
      <c r="C122" s="1631">
        <v>100000</v>
      </c>
      <c r="D122" s="1631">
        <v>100000</v>
      </c>
      <c r="E122" s="1631"/>
      <c r="F122" s="829">
        <f t="shared" si="7"/>
        <v>0</v>
      </c>
      <c r="G122" s="829">
        <f t="shared" si="6"/>
        <v>200000</v>
      </c>
    </row>
    <row r="123" spans="1:7" s="435" customFormat="1" ht="37.5" x14ac:dyDescent="0.3">
      <c r="A123" s="1848"/>
      <c r="B123" s="862" t="s">
        <v>1540</v>
      </c>
      <c r="C123" s="565">
        <v>10000</v>
      </c>
      <c r="D123" s="565">
        <v>10000</v>
      </c>
      <c r="E123" s="586"/>
      <c r="F123" s="829">
        <f t="shared" si="7"/>
        <v>0</v>
      </c>
      <c r="G123" s="829">
        <f t="shared" si="6"/>
        <v>20000</v>
      </c>
    </row>
    <row r="124" spans="1:7" s="435" customFormat="1" ht="37.5" x14ac:dyDescent="0.3">
      <c r="A124" s="1848"/>
      <c r="B124" s="862" t="s">
        <v>1541</v>
      </c>
      <c r="C124" s="565">
        <v>10000</v>
      </c>
      <c r="D124" s="565">
        <v>10000</v>
      </c>
      <c r="E124" s="586"/>
      <c r="F124" s="829">
        <f t="shared" si="7"/>
        <v>0</v>
      </c>
      <c r="G124" s="829">
        <f t="shared" si="6"/>
        <v>20000</v>
      </c>
    </row>
    <row r="125" spans="1:7" s="435" customFormat="1" ht="37.5" x14ac:dyDescent="0.3">
      <c r="A125" s="1848"/>
      <c r="B125" s="862" t="s">
        <v>1542</v>
      </c>
      <c r="C125" s="565">
        <v>12000</v>
      </c>
      <c r="D125" s="565">
        <v>12000</v>
      </c>
      <c r="E125" s="586"/>
      <c r="F125" s="829">
        <f t="shared" si="7"/>
        <v>0</v>
      </c>
      <c r="G125" s="829">
        <f t="shared" si="6"/>
        <v>24000</v>
      </c>
    </row>
    <row r="126" spans="1:7" s="435" customFormat="1" ht="37.5" x14ac:dyDescent="0.3">
      <c r="A126" s="1848"/>
      <c r="B126" s="862" t="s">
        <v>1543</v>
      </c>
      <c r="C126" s="565">
        <v>13000</v>
      </c>
      <c r="D126" s="565">
        <v>13000</v>
      </c>
      <c r="E126" s="586"/>
      <c r="F126" s="829">
        <f t="shared" si="7"/>
        <v>0</v>
      </c>
      <c r="G126" s="829">
        <f t="shared" si="6"/>
        <v>26000</v>
      </c>
    </row>
    <row r="127" spans="1:7" s="435" customFormat="1" ht="37.5" x14ac:dyDescent="0.3">
      <c r="A127" s="1848"/>
      <c r="B127" s="862" t="s">
        <v>1544</v>
      </c>
      <c r="C127" s="565">
        <v>12000</v>
      </c>
      <c r="D127" s="565">
        <v>12000</v>
      </c>
      <c r="E127" s="586"/>
      <c r="F127" s="829">
        <f t="shared" si="7"/>
        <v>0</v>
      </c>
      <c r="G127" s="829">
        <f t="shared" si="6"/>
        <v>24000</v>
      </c>
    </row>
    <row r="128" spans="1:7" s="435" customFormat="1" ht="37.5" x14ac:dyDescent="0.3">
      <c r="A128" s="1848"/>
      <c r="B128" s="862" t="s">
        <v>1545</v>
      </c>
      <c r="C128" s="565">
        <v>15000</v>
      </c>
      <c r="D128" s="565">
        <v>15000</v>
      </c>
      <c r="E128" s="586"/>
      <c r="F128" s="829">
        <f t="shared" si="7"/>
        <v>0</v>
      </c>
      <c r="G128" s="829">
        <f t="shared" si="6"/>
        <v>30000</v>
      </c>
    </row>
    <row r="129" spans="1:7" s="435" customFormat="1" ht="37.5" x14ac:dyDescent="0.3">
      <c r="A129" s="1848"/>
      <c r="B129" s="862" t="s">
        <v>1546</v>
      </c>
      <c r="C129" s="565">
        <v>15000</v>
      </c>
      <c r="D129" s="565">
        <v>15000</v>
      </c>
      <c r="E129" s="586"/>
      <c r="F129" s="829">
        <f t="shared" si="7"/>
        <v>0</v>
      </c>
      <c r="G129" s="829">
        <f t="shared" si="6"/>
        <v>30000</v>
      </c>
    </row>
    <row r="130" spans="1:7" s="435" customFormat="1" ht="56.25" x14ac:dyDescent="0.3">
      <c r="A130" s="1848"/>
      <c r="B130" s="862" t="s">
        <v>2008</v>
      </c>
      <c r="C130" s="1627">
        <v>23000</v>
      </c>
      <c r="D130" s="1627">
        <v>23000</v>
      </c>
      <c r="E130" s="1627"/>
      <c r="F130" s="829">
        <f t="shared" si="7"/>
        <v>0</v>
      </c>
      <c r="G130" s="829">
        <f t="shared" si="6"/>
        <v>46000</v>
      </c>
    </row>
    <row r="131" spans="1:7" s="435" customFormat="1" hidden="1" x14ac:dyDescent="0.3">
      <c r="A131" s="1848"/>
      <c r="B131" s="862"/>
      <c r="C131" s="1438">
        <f>SUM(D131:E131)</f>
        <v>0</v>
      </c>
      <c r="D131" s="1439"/>
      <c r="E131" s="1440"/>
      <c r="F131" s="829">
        <f t="shared" si="7"/>
        <v>0</v>
      </c>
      <c r="G131" s="829">
        <f t="shared" si="6"/>
        <v>0</v>
      </c>
    </row>
    <row r="132" spans="1:7" s="435" customFormat="1" hidden="1" x14ac:dyDescent="0.3">
      <c r="A132" s="1848"/>
      <c r="B132" s="862"/>
      <c r="C132" s="1438">
        <f>SUM(D132:E132)</f>
        <v>0</v>
      </c>
      <c r="D132" s="1439"/>
      <c r="E132" s="1440"/>
      <c r="F132" s="829">
        <f t="shared" si="7"/>
        <v>0</v>
      </c>
      <c r="G132" s="829">
        <f t="shared" si="6"/>
        <v>0</v>
      </c>
    </row>
    <row r="133" spans="1:7" s="435" customFormat="1" x14ac:dyDescent="0.3">
      <c r="A133" s="1848"/>
      <c r="B133" s="862" t="s">
        <v>740</v>
      </c>
      <c r="C133" s="1438">
        <f>SUM(C118:C132)</f>
        <v>374600</v>
      </c>
      <c r="D133" s="1438">
        <f>SUM(D118:D132)</f>
        <v>224600</v>
      </c>
      <c r="E133" s="1438">
        <f>SUM(E118:E132)</f>
        <v>150000</v>
      </c>
      <c r="F133" s="829">
        <f>E133+D133-C133</f>
        <v>0</v>
      </c>
      <c r="G133" s="829">
        <f t="shared" si="6"/>
        <v>749200</v>
      </c>
    </row>
    <row r="134" spans="1:7" s="435" customFormat="1" ht="112.5" hidden="1" x14ac:dyDescent="0.3">
      <c r="A134" s="1848" t="s">
        <v>1079</v>
      </c>
      <c r="B134" s="506" t="s">
        <v>618</v>
      </c>
      <c r="C134" s="1446"/>
      <c r="D134" s="1446"/>
      <c r="E134" s="586"/>
      <c r="F134" s="829">
        <f t="shared" si="7"/>
        <v>0</v>
      </c>
      <c r="G134" s="829">
        <f t="shared" si="6"/>
        <v>0</v>
      </c>
    </row>
    <row r="135" spans="1:7" s="435" customFormat="1" ht="75" x14ac:dyDescent="0.3">
      <c r="A135" s="1848"/>
      <c r="B135" s="507" t="s">
        <v>617</v>
      </c>
      <c r="C135" s="565">
        <v>18600</v>
      </c>
      <c r="D135" s="565">
        <v>18600</v>
      </c>
      <c r="E135" s="586"/>
      <c r="F135" s="829">
        <f t="shared" si="7"/>
        <v>0</v>
      </c>
      <c r="G135" s="829">
        <f t="shared" si="6"/>
        <v>37200</v>
      </c>
    </row>
    <row r="136" spans="1:7" s="435" customFormat="1" ht="75" x14ac:dyDescent="0.3">
      <c r="A136" s="1848"/>
      <c r="B136" s="1118" t="s">
        <v>1271</v>
      </c>
      <c r="C136" s="1439">
        <v>100000</v>
      </c>
      <c r="D136" s="1439">
        <v>100000</v>
      </c>
      <c r="E136" s="1439"/>
      <c r="F136" s="829">
        <f t="shared" si="7"/>
        <v>0</v>
      </c>
      <c r="G136" s="829">
        <f t="shared" si="6"/>
        <v>200000</v>
      </c>
    </row>
    <row r="137" spans="1:7" s="435" customFormat="1" ht="56.25" x14ac:dyDescent="0.3">
      <c r="A137" s="1848"/>
      <c r="B137" s="862" t="s">
        <v>1493</v>
      </c>
      <c r="C137" s="565">
        <v>36000</v>
      </c>
      <c r="D137" s="565"/>
      <c r="E137" s="586">
        <v>36000</v>
      </c>
      <c r="F137" s="829">
        <f t="shared" si="7"/>
        <v>0</v>
      </c>
      <c r="G137" s="829">
        <f t="shared" ref="G137:G200" si="9">SUM(C137:E137)</f>
        <v>72000</v>
      </c>
    </row>
    <row r="138" spans="1:7" s="845" customFormat="1" ht="56.25" x14ac:dyDescent="0.3">
      <c r="A138" s="1848"/>
      <c r="B138" s="862" t="s">
        <v>1550</v>
      </c>
      <c r="C138" s="565">
        <v>75000</v>
      </c>
      <c r="D138" s="565">
        <v>75000</v>
      </c>
      <c r="E138" s="586"/>
      <c r="F138" s="829">
        <f t="shared" si="7"/>
        <v>0</v>
      </c>
      <c r="G138" s="829">
        <f t="shared" si="9"/>
        <v>150000</v>
      </c>
    </row>
    <row r="139" spans="1:7" s="845" customFormat="1" ht="112.5" x14ac:dyDescent="0.3">
      <c r="A139" s="1848"/>
      <c r="B139" s="506" t="s">
        <v>1942</v>
      </c>
      <c r="C139" s="882">
        <v>100000</v>
      </c>
      <c r="D139" s="882"/>
      <c r="E139" s="882">
        <v>100000</v>
      </c>
      <c r="F139" s="829">
        <f t="shared" si="7"/>
        <v>0</v>
      </c>
      <c r="G139" s="829">
        <f t="shared" si="9"/>
        <v>200000</v>
      </c>
    </row>
    <row r="140" spans="1:7" s="845" customFormat="1" ht="93.75" x14ac:dyDescent="0.3">
      <c r="A140" s="1848"/>
      <c r="B140" s="506" t="s">
        <v>1585</v>
      </c>
      <c r="C140" s="1438">
        <f t="shared" ref="C140:C146" si="10">SUM(D140:E140)</f>
        <v>7600</v>
      </c>
      <c r="D140" s="1457">
        <v>7600</v>
      </c>
      <c r="E140" s="892"/>
      <c r="F140" s="829">
        <f t="shared" si="7"/>
        <v>0</v>
      </c>
      <c r="G140" s="829">
        <f t="shared" si="9"/>
        <v>15200</v>
      </c>
    </row>
    <row r="141" spans="1:7" s="845" customFormat="1" ht="75" x14ac:dyDescent="0.3">
      <c r="A141" s="1848"/>
      <c r="B141" s="1632" t="s">
        <v>1586</v>
      </c>
      <c r="C141" s="1438">
        <f t="shared" si="10"/>
        <v>1400</v>
      </c>
      <c r="D141" s="1457">
        <v>1400</v>
      </c>
      <c r="E141" s="892"/>
      <c r="F141" s="829">
        <f t="shared" si="7"/>
        <v>0</v>
      </c>
      <c r="G141" s="829">
        <f t="shared" si="9"/>
        <v>2800</v>
      </c>
    </row>
    <row r="142" spans="1:7" s="845" customFormat="1" ht="56.25" x14ac:dyDescent="0.3">
      <c r="A142" s="1848"/>
      <c r="B142" s="506" t="s">
        <v>1587</v>
      </c>
      <c r="C142" s="1438">
        <f t="shared" si="10"/>
        <v>2100</v>
      </c>
      <c r="D142" s="1457">
        <v>2100</v>
      </c>
      <c r="E142" s="892"/>
      <c r="F142" s="829">
        <f t="shared" si="7"/>
        <v>0</v>
      </c>
      <c r="G142" s="829">
        <f t="shared" si="9"/>
        <v>4200</v>
      </c>
    </row>
    <row r="143" spans="1:7" s="845" customFormat="1" ht="56.25" x14ac:dyDescent="0.3">
      <c r="A143" s="1848"/>
      <c r="B143" s="506" t="s">
        <v>1588</v>
      </c>
      <c r="C143" s="1438">
        <f t="shared" si="10"/>
        <v>1400</v>
      </c>
      <c r="D143" s="1457">
        <v>1400</v>
      </c>
      <c r="E143" s="892"/>
      <c r="F143" s="829">
        <f t="shared" si="7"/>
        <v>0</v>
      </c>
      <c r="G143" s="829">
        <f t="shared" si="9"/>
        <v>2800</v>
      </c>
    </row>
    <row r="144" spans="1:7" s="845" customFormat="1" ht="56.25" x14ac:dyDescent="0.3">
      <c r="A144" s="1848"/>
      <c r="B144" s="506" t="s">
        <v>1589</v>
      </c>
      <c r="C144" s="1438">
        <f t="shared" si="10"/>
        <v>5000</v>
      </c>
      <c r="D144" s="1457">
        <v>5000</v>
      </c>
      <c r="E144" s="892"/>
      <c r="F144" s="829">
        <f t="shared" si="7"/>
        <v>0</v>
      </c>
      <c r="G144" s="829">
        <f t="shared" si="9"/>
        <v>10000</v>
      </c>
    </row>
    <row r="145" spans="1:7" s="845" customFormat="1" ht="56.25" x14ac:dyDescent="0.3">
      <c r="A145" s="1848"/>
      <c r="B145" s="506" t="s">
        <v>1590</v>
      </c>
      <c r="C145" s="1438">
        <f t="shared" si="10"/>
        <v>700</v>
      </c>
      <c r="D145" s="1457">
        <v>700</v>
      </c>
      <c r="E145" s="892"/>
      <c r="F145" s="829">
        <f t="shared" si="7"/>
        <v>0</v>
      </c>
      <c r="G145" s="829">
        <f t="shared" si="9"/>
        <v>1400</v>
      </c>
    </row>
    <row r="146" spans="1:7" s="845" customFormat="1" ht="56.25" x14ac:dyDescent="0.3">
      <c r="A146" s="1848"/>
      <c r="B146" s="506" t="s">
        <v>1591</v>
      </c>
      <c r="C146" s="1438">
        <f t="shared" si="10"/>
        <v>6800</v>
      </c>
      <c r="D146" s="1457">
        <v>6800</v>
      </c>
      <c r="E146" s="892"/>
      <c r="F146" s="829">
        <f t="shared" si="7"/>
        <v>0</v>
      </c>
      <c r="G146" s="829">
        <f t="shared" si="9"/>
        <v>13600</v>
      </c>
    </row>
    <row r="147" spans="1:7" s="845" customFormat="1" ht="150" x14ac:dyDescent="0.3">
      <c r="A147" s="1848"/>
      <c r="B147" s="506" t="s">
        <v>1592</v>
      </c>
      <c r="C147" s="1457">
        <v>25000</v>
      </c>
      <c r="D147" s="1457">
        <v>25000</v>
      </c>
      <c r="E147" s="1457"/>
      <c r="F147" s="829">
        <f t="shared" si="7"/>
        <v>0</v>
      </c>
      <c r="G147" s="829">
        <f t="shared" si="9"/>
        <v>50000</v>
      </c>
    </row>
    <row r="148" spans="1:7" s="845" customFormat="1" ht="56.25" x14ac:dyDescent="0.3">
      <c r="A148" s="1848"/>
      <c r="B148" s="506" t="s">
        <v>1593</v>
      </c>
      <c r="C148" s="1457">
        <v>100000</v>
      </c>
      <c r="D148" s="1629"/>
      <c r="E148" s="1457">
        <v>100000</v>
      </c>
      <c r="F148" s="829">
        <f t="shared" si="7"/>
        <v>0</v>
      </c>
      <c r="G148" s="829">
        <f t="shared" si="9"/>
        <v>200000</v>
      </c>
    </row>
    <row r="149" spans="1:7" s="845" customFormat="1" hidden="1" x14ac:dyDescent="0.3">
      <c r="A149" s="1848"/>
      <c r="B149" s="971"/>
      <c r="C149" s="1449"/>
      <c r="D149" s="1449"/>
      <c r="E149" s="1450"/>
      <c r="F149" s="829"/>
      <c r="G149" s="829">
        <f t="shared" si="9"/>
        <v>0</v>
      </c>
    </row>
    <row r="150" spans="1:7" s="845" customFormat="1" hidden="1" x14ac:dyDescent="0.3">
      <c r="A150" s="1848"/>
      <c r="B150" s="971"/>
      <c r="C150" s="1449"/>
      <c r="D150" s="1449"/>
      <c r="E150" s="1450"/>
      <c r="F150" s="829"/>
      <c r="G150" s="829">
        <f t="shared" si="9"/>
        <v>0</v>
      </c>
    </row>
    <row r="151" spans="1:7" s="845" customFormat="1" hidden="1" x14ac:dyDescent="0.3">
      <c r="A151" s="1848"/>
      <c r="B151" s="971"/>
      <c r="C151" s="1449"/>
      <c r="D151" s="1449"/>
      <c r="E151" s="1450"/>
      <c r="F151" s="829"/>
      <c r="G151" s="829">
        <f t="shared" si="9"/>
        <v>0</v>
      </c>
    </row>
    <row r="152" spans="1:7" s="845" customFormat="1" hidden="1" x14ac:dyDescent="0.3">
      <c r="A152" s="1848"/>
      <c r="B152" s="971"/>
      <c r="C152" s="1449"/>
      <c r="D152" s="1449"/>
      <c r="E152" s="1450"/>
      <c r="F152" s="829"/>
      <c r="G152" s="829">
        <f t="shared" si="9"/>
        <v>0</v>
      </c>
    </row>
    <row r="153" spans="1:7" s="845" customFormat="1" hidden="1" x14ac:dyDescent="0.3">
      <c r="A153" s="1848"/>
      <c r="B153" s="971"/>
      <c r="C153" s="1449"/>
      <c r="D153" s="1449"/>
      <c r="E153" s="1450"/>
      <c r="F153" s="829"/>
      <c r="G153" s="829">
        <f t="shared" si="9"/>
        <v>0</v>
      </c>
    </row>
    <row r="154" spans="1:7" hidden="1" x14ac:dyDescent="0.3">
      <c r="A154" s="1848"/>
      <c r="B154" s="862"/>
      <c r="C154" s="1438">
        <f>SUM(D154:E154)</f>
        <v>0</v>
      </c>
      <c r="D154" s="1439"/>
      <c r="E154" s="1440"/>
      <c r="F154" s="829">
        <f t="shared" si="7"/>
        <v>0</v>
      </c>
      <c r="G154" s="829">
        <f t="shared" si="9"/>
        <v>0</v>
      </c>
    </row>
    <row r="155" spans="1:7" hidden="1" x14ac:dyDescent="0.3">
      <c r="A155" s="1848"/>
      <c r="B155" s="862"/>
      <c r="C155" s="1438">
        <f>SUM(D155:E155)</f>
        <v>0</v>
      </c>
      <c r="D155" s="1439"/>
      <c r="E155" s="1440"/>
      <c r="F155" s="829">
        <f t="shared" si="7"/>
        <v>0</v>
      </c>
      <c r="G155" s="829">
        <f t="shared" si="9"/>
        <v>0</v>
      </c>
    </row>
    <row r="156" spans="1:7" hidden="1" x14ac:dyDescent="0.3">
      <c r="A156" s="1848"/>
      <c r="B156" s="862"/>
      <c r="C156" s="1438">
        <f>SUM(D156:E156)</f>
        <v>0</v>
      </c>
      <c r="D156" s="1439"/>
      <c r="E156" s="1440"/>
      <c r="F156" s="829">
        <f t="shared" si="7"/>
        <v>0</v>
      </c>
      <c r="G156" s="829">
        <f t="shared" si="9"/>
        <v>0</v>
      </c>
    </row>
    <row r="157" spans="1:7" hidden="1" x14ac:dyDescent="0.3">
      <c r="A157" s="1848"/>
      <c r="B157" s="862"/>
      <c r="C157" s="1438">
        <f>SUM(D157:E157)</f>
        <v>0</v>
      </c>
      <c r="D157" s="1439"/>
      <c r="E157" s="1440"/>
      <c r="F157" s="829">
        <f t="shared" si="7"/>
        <v>0</v>
      </c>
      <c r="G157" s="829">
        <f t="shared" si="9"/>
        <v>0</v>
      </c>
    </row>
    <row r="158" spans="1:7" hidden="1" x14ac:dyDescent="0.3">
      <c r="A158" s="1848"/>
      <c r="B158" s="862"/>
      <c r="C158" s="1438">
        <f>SUM(D158:E158)</f>
        <v>0</v>
      </c>
      <c r="D158" s="1439"/>
      <c r="E158" s="1440"/>
      <c r="F158" s="829">
        <f t="shared" si="7"/>
        <v>0</v>
      </c>
      <c r="G158" s="829">
        <f t="shared" si="9"/>
        <v>0</v>
      </c>
    </row>
    <row r="159" spans="1:7" x14ac:dyDescent="0.3">
      <c r="A159" s="1848"/>
      <c r="B159" s="862" t="s">
        <v>740</v>
      </c>
      <c r="C159" s="1438">
        <f>SUM(C134:C158)</f>
        <v>479600</v>
      </c>
      <c r="D159" s="1438">
        <f>SUM(D134:D158)</f>
        <v>243600</v>
      </c>
      <c r="E159" s="1438">
        <f>SUM(E134:E158)</f>
        <v>236000</v>
      </c>
      <c r="F159" s="829">
        <f t="shared" si="7"/>
        <v>0</v>
      </c>
      <c r="G159" s="829">
        <f t="shared" si="9"/>
        <v>959200</v>
      </c>
    </row>
    <row r="160" spans="1:7" ht="75" x14ac:dyDescent="0.3">
      <c r="A160" s="1848" t="s">
        <v>1080</v>
      </c>
      <c r="B160" s="507" t="s">
        <v>617</v>
      </c>
      <c r="C160" s="565">
        <v>850800</v>
      </c>
      <c r="D160" s="565">
        <v>850800</v>
      </c>
      <c r="E160" s="586"/>
      <c r="F160" s="829">
        <f t="shared" si="7"/>
        <v>0</v>
      </c>
      <c r="G160" s="829">
        <f t="shared" si="9"/>
        <v>1701600</v>
      </c>
    </row>
    <row r="161" spans="1:7" ht="112.5" x14ac:dyDescent="0.3">
      <c r="A161" s="1848"/>
      <c r="B161" s="506" t="s">
        <v>1991</v>
      </c>
      <c r="C161" s="565">
        <v>150000</v>
      </c>
      <c r="D161" s="565"/>
      <c r="E161" s="586">
        <v>150000</v>
      </c>
      <c r="F161" s="829">
        <f t="shared" ref="F161:F182" si="11">E161+D161-C161</f>
        <v>0</v>
      </c>
      <c r="G161" s="829">
        <f t="shared" si="9"/>
        <v>300000</v>
      </c>
    </row>
    <row r="162" spans="1:7" ht="93.75" x14ac:dyDescent="0.3">
      <c r="A162" s="1848"/>
      <c r="B162" s="1118" t="s">
        <v>1303</v>
      </c>
      <c r="C162" s="1439">
        <v>200000</v>
      </c>
      <c r="D162" s="1439"/>
      <c r="E162" s="1439">
        <v>200000</v>
      </c>
      <c r="F162" s="829">
        <f t="shared" si="11"/>
        <v>0</v>
      </c>
      <c r="G162" s="829">
        <f t="shared" si="9"/>
        <v>400000</v>
      </c>
    </row>
    <row r="163" spans="1:7" ht="56.25" x14ac:dyDescent="0.3">
      <c r="A163" s="1848"/>
      <c r="B163" s="1118" t="s">
        <v>1304</v>
      </c>
      <c r="C163" s="1439">
        <v>500000</v>
      </c>
      <c r="D163" s="1439"/>
      <c r="E163" s="1439">
        <v>500000</v>
      </c>
      <c r="F163" s="829">
        <f t="shared" si="11"/>
        <v>0</v>
      </c>
      <c r="G163" s="829">
        <f t="shared" si="9"/>
        <v>1000000</v>
      </c>
    </row>
    <row r="164" spans="1:7" ht="56.25" x14ac:dyDescent="0.3">
      <c r="A164" s="1848"/>
      <c r="B164" s="1121" t="s">
        <v>1561</v>
      </c>
      <c r="C164" s="565">
        <v>80000</v>
      </c>
      <c r="D164" s="565"/>
      <c r="E164" s="586">
        <v>80000</v>
      </c>
      <c r="F164" s="829">
        <f t="shared" si="11"/>
        <v>0</v>
      </c>
      <c r="G164" s="829">
        <f t="shared" si="9"/>
        <v>160000</v>
      </c>
    </row>
    <row r="165" spans="1:7" ht="56.25" x14ac:dyDescent="0.3">
      <c r="A165" s="1848"/>
      <c r="B165" s="1121" t="s">
        <v>1562</v>
      </c>
      <c r="C165" s="565">
        <v>80000</v>
      </c>
      <c r="D165" s="565"/>
      <c r="E165" s="586">
        <v>80000</v>
      </c>
      <c r="F165" s="829">
        <f t="shared" si="11"/>
        <v>0</v>
      </c>
      <c r="G165" s="829">
        <f t="shared" si="9"/>
        <v>160000</v>
      </c>
    </row>
    <row r="166" spans="1:7" ht="56.25" x14ac:dyDescent="0.3">
      <c r="A166" s="1848"/>
      <c r="B166" s="1121" t="s">
        <v>1563</v>
      </c>
      <c r="C166" s="565">
        <v>60000</v>
      </c>
      <c r="D166" s="565"/>
      <c r="E166" s="586">
        <v>60000</v>
      </c>
      <c r="F166" s="829">
        <f t="shared" si="11"/>
        <v>0</v>
      </c>
      <c r="G166" s="829">
        <f t="shared" si="9"/>
        <v>120000</v>
      </c>
    </row>
    <row r="167" spans="1:7" ht="56.25" x14ac:dyDescent="0.3">
      <c r="A167" s="1848"/>
      <c r="B167" s="1121" t="s">
        <v>1564</v>
      </c>
      <c r="C167" s="565">
        <v>80000</v>
      </c>
      <c r="D167" s="565"/>
      <c r="E167" s="586">
        <v>80000</v>
      </c>
      <c r="F167" s="829">
        <f t="shared" si="11"/>
        <v>0</v>
      </c>
      <c r="G167" s="829">
        <f t="shared" si="9"/>
        <v>160000</v>
      </c>
    </row>
    <row r="168" spans="1:7" ht="56.25" x14ac:dyDescent="0.3">
      <c r="A168" s="1848"/>
      <c r="B168" s="1121" t="s">
        <v>1565</v>
      </c>
      <c r="C168" s="565">
        <v>90000</v>
      </c>
      <c r="D168" s="565"/>
      <c r="E168" s="586">
        <v>90000</v>
      </c>
      <c r="F168" s="829">
        <f t="shared" si="11"/>
        <v>0</v>
      </c>
      <c r="G168" s="829">
        <f t="shared" si="9"/>
        <v>180000</v>
      </c>
    </row>
    <row r="169" spans="1:7" ht="56.25" x14ac:dyDescent="0.3">
      <c r="A169" s="1848"/>
      <c r="B169" s="1121" t="s">
        <v>1566</v>
      </c>
      <c r="C169" s="565">
        <v>90000</v>
      </c>
      <c r="D169" s="565"/>
      <c r="E169" s="586">
        <v>90000</v>
      </c>
      <c r="F169" s="829">
        <f t="shared" si="11"/>
        <v>0</v>
      </c>
      <c r="G169" s="829">
        <f t="shared" si="9"/>
        <v>180000</v>
      </c>
    </row>
    <row r="170" spans="1:7" ht="56.25" x14ac:dyDescent="0.3">
      <c r="A170" s="1848"/>
      <c r="B170" s="1121" t="s">
        <v>1775</v>
      </c>
      <c r="C170" s="565">
        <v>20000</v>
      </c>
      <c r="D170" s="565"/>
      <c r="E170" s="586">
        <v>20000</v>
      </c>
      <c r="F170" s="829">
        <f t="shared" si="11"/>
        <v>0</v>
      </c>
      <c r="G170" s="829">
        <f t="shared" si="9"/>
        <v>40000</v>
      </c>
    </row>
    <row r="171" spans="1:7" ht="37.5" x14ac:dyDescent="0.3">
      <c r="A171" s="1848"/>
      <c r="B171" s="1121" t="s">
        <v>1305</v>
      </c>
      <c r="C171" s="1467">
        <v>500000</v>
      </c>
      <c r="D171" s="1622">
        <v>500000</v>
      </c>
      <c r="E171" s="1440"/>
      <c r="F171" s="829">
        <f t="shared" si="11"/>
        <v>0</v>
      </c>
      <c r="G171" s="829">
        <f t="shared" si="9"/>
        <v>1000000</v>
      </c>
    </row>
    <row r="172" spans="1:7" ht="56.25" x14ac:dyDescent="0.3">
      <c r="A172" s="1848"/>
      <c r="B172" s="506" t="s">
        <v>1494</v>
      </c>
      <c r="C172" s="565">
        <v>36200</v>
      </c>
      <c r="D172" s="565">
        <v>36200</v>
      </c>
      <c r="E172" s="586"/>
      <c r="F172" s="829">
        <f t="shared" si="11"/>
        <v>0</v>
      </c>
      <c r="G172" s="829">
        <f t="shared" si="9"/>
        <v>72400</v>
      </c>
    </row>
    <row r="173" spans="1:7" ht="112.5" x14ac:dyDescent="0.3">
      <c r="A173" s="1848"/>
      <c r="B173" s="862" t="s">
        <v>1534</v>
      </c>
      <c r="C173" s="1438">
        <f>SUM(D173:E173)</f>
        <v>333900</v>
      </c>
      <c r="D173" s="1438">
        <v>333900</v>
      </c>
      <c r="E173" s="1440"/>
      <c r="F173" s="829">
        <f t="shared" si="11"/>
        <v>0</v>
      </c>
      <c r="G173" s="829">
        <f t="shared" si="9"/>
        <v>667800</v>
      </c>
    </row>
    <row r="174" spans="1:7" ht="56.25" x14ac:dyDescent="0.3">
      <c r="A174" s="1848"/>
      <c r="B174" s="1121" t="s">
        <v>1594</v>
      </c>
      <c r="C174" s="1438">
        <f>SUM(D174:E174)</f>
        <v>40000</v>
      </c>
      <c r="D174" s="1438"/>
      <c r="E174" s="565">
        <v>40000</v>
      </c>
      <c r="F174" s="829">
        <f t="shared" si="11"/>
        <v>0</v>
      </c>
      <c r="G174" s="829">
        <f t="shared" si="9"/>
        <v>80000</v>
      </c>
    </row>
    <row r="175" spans="1:7" ht="75" x14ac:dyDescent="0.3">
      <c r="A175" s="1848"/>
      <c r="B175" s="1121" t="s">
        <v>1595</v>
      </c>
      <c r="C175" s="1438">
        <f>SUM(D175:E175)</f>
        <v>50000</v>
      </c>
      <c r="D175" s="1438"/>
      <c r="E175" s="565">
        <v>50000</v>
      </c>
      <c r="F175" s="829">
        <f t="shared" si="11"/>
        <v>0</v>
      </c>
      <c r="G175" s="829">
        <f t="shared" si="9"/>
        <v>100000</v>
      </c>
    </row>
    <row r="176" spans="1:7" ht="56.25" x14ac:dyDescent="0.3">
      <c r="A176" s="1848"/>
      <c r="B176" s="1121" t="s">
        <v>1596</v>
      </c>
      <c r="C176" s="1438">
        <f>SUM(D176:E176)</f>
        <v>50000</v>
      </c>
      <c r="D176" s="1438"/>
      <c r="E176" s="565">
        <v>50000</v>
      </c>
      <c r="F176" s="829">
        <f t="shared" si="11"/>
        <v>0</v>
      </c>
      <c r="G176" s="829">
        <f t="shared" si="9"/>
        <v>100000</v>
      </c>
    </row>
    <row r="177" spans="1:7" ht="75" x14ac:dyDescent="0.3">
      <c r="A177" s="1848"/>
      <c r="B177" s="1121" t="s">
        <v>1597</v>
      </c>
      <c r="C177" s="1438">
        <f>SUM(D177:E177)</f>
        <v>60000</v>
      </c>
      <c r="D177" s="1438"/>
      <c r="E177" s="565">
        <v>60000</v>
      </c>
      <c r="F177" s="829">
        <f t="shared" si="11"/>
        <v>0</v>
      </c>
      <c r="G177" s="829">
        <f t="shared" si="9"/>
        <v>120000</v>
      </c>
    </row>
    <row r="178" spans="1:7" ht="75" x14ac:dyDescent="0.3">
      <c r="A178" s="1848"/>
      <c r="B178" s="506" t="s">
        <v>1598</v>
      </c>
      <c r="C178" s="565">
        <v>100000</v>
      </c>
      <c r="D178" s="565"/>
      <c r="E178" s="565">
        <v>100000</v>
      </c>
      <c r="F178" s="829">
        <f t="shared" si="11"/>
        <v>0</v>
      </c>
      <c r="G178" s="829">
        <f t="shared" si="9"/>
        <v>200000</v>
      </c>
    </row>
    <row r="179" spans="1:7" ht="75" x14ac:dyDescent="0.3">
      <c r="A179" s="1848"/>
      <c r="B179" s="862" t="s">
        <v>1599</v>
      </c>
      <c r="C179" s="1457">
        <v>120000</v>
      </c>
      <c r="D179" s="1457">
        <v>120000</v>
      </c>
      <c r="E179" s="1457"/>
      <c r="F179" s="829">
        <f t="shared" si="11"/>
        <v>0</v>
      </c>
      <c r="G179" s="829">
        <f t="shared" si="9"/>
        <v>240000</v>
      </c>
    </row>
    <row r="180" spans="1:7" ht="37.5" x14ac:dyDescent="0.3">
      <c r="A180" s="1848"/>
      <c r="B180" s="862" t="s">
        <v>1600</v>
      </c>
      <c r="C180" s="1457">
        <v>40000</v>
      </c>
      <c r="D180" s="1457">
        <v>40000</v>
      </c>
      <c r="E180" s="1457"/>
      <c r="F180" s="829">
        <f t="shared" si="11"/>
        <v>0</v>
      </c>
      <c r="G180" s="829">
        <f t="shared" si="9"/>
        <v>80000</v>
      </c>
    </row>
    <row r="181" spans="1:7" ht="56.25" x14ac:dyDescent="0.3">
      <c r="A181" s="1848"/>
      <c r="B181" s="862" t="s">
        <v>1601</v>
      </c>
      <c r="C181" s="1457">
        <v>40000</v>
      </c>
      <c r="D181" s="1457"/>
      <c r="E181" s="1457">
        <v>40000</v>
      </c>
      <c r="F181" s="829">
        <f t="shared" si="11"/>
        <v>0</v>
      </c>
      <c r="G181" s="829">
        <f t="shared" si="9"/>
        <v>80000</v>
      </c>
    </row>
    <row r="182" spans="1:7" ht="93.75" x14ac:dyDescent="0.3">
      <c r="A182" s="1848"/>
      <c r="B182" s="862" t="s">
        <v>1602</v>
      </c>
      <c r="C182" s="1457">
        <v>113800</v>
      </c>
      <c r="D182" s="1457">
        <v>113800</v>
      </c>
      <c r="E182" s="1457"/>
      <c r="F182" s="829">
        <f t="shared" si="11"/>
        <v>0</v>
      </c>
      <c r="G182" s="829">
        <f t="shared" si="9"/>
        <v>227600</v>
      </c>
    </row>
    <row r="183" spans="1:7" ht="93.75" x14ac:dyDescent="0.3">
      <c r="A183" s="1848"/>
      <c r="B183" s="506" t="s">
        <v>1992</v>
      </c>
      <c r="C183" s="565">
        <v>160000</v>
      </c>
      <c r="D183" s="565"/>
      <c r="E183" s="565">
        <v>160000</v>
      </c>
      <c r="F183" s="829">
        <f t="shared" ref="F183:F222" si="12">E183+D183-C183</f>
        <v>0</v>
      </c>
      <c r="G183" s="829">
        <f t="shared" si="9"/>
        <v>320000</v>
      </c>
    </row>
    <row r="184" spans="1:7" ht="93.75" x14ac:dyDescent="0.3">
      <c r="A184" s="1848"/>
      <c r="B184" s="506" t="s">
        <v>1992</v>
      </c>
      <c r="C184" s="565">
        <v>347042</v>
      </c>
      <c r="D184" s="565"/>
      <c r="E184" s="565">
        <v>347042</v>
      </c>
      <c r="F184" s="829">
        <f t="shared" si="12"/>
        <v>0</v>
      </c>
      <c r="G184" s="829">
        <f t="shared" si="9"/>
        <v>694084</v>
      </c>
    </row>
    <row r="185" spans="1:7" ht="93.75" x14ac:dyDescent="0.3">
      <c r="A185" s="1848"/>
      <c r="B185" s="862" t="s">
        <v>2009</v>
      </c>
      <c r="C185" s="1627">
        <v>108956</v>
      </c>
      <c r="D185" s="1627"/>
      <c r="E185" s="1627">
        <v>108956</v>
      </c>
      <c r="F185" s="829">
        <f t="shared" si="12"/>
        <v>0</v>
      </c>
      <c r="G185" s="829">
        <f t="shared" si="9"/>
        <v>217912</v>
      </c>
    </row>
    <row r="186" spans="1:7" ht="93.75" x14ac:dyDescent="0.3">
      <c r="A186" s="1848"/>
      <c r="B186" s="862" t="s">
        <v>2009</v>
      </c>
      <c r="C186" s="1627">
        <v>108956</v>
      </c>
      <c r="D186" s="1627"/>
      <c r="E186" s="1627">
        <v>108956</v>
      </c>
      <c r="F186" s="829">
        <f t="shared" si="12"/>
        <v>0</v>
      </c>
      <c r="G186" s="829">
        <f t="shared" si="9"/>
        <v>217912</v>
      </c>
    </row>
    <row r="187" spans="1:7" ht="56.25" x14ac:dyDescent="0.3">
      <c r="A187" s="1848"/>
      <c r="B187" s="862" t="s">
        <v>2010</v>
      </c>
      <c r="C187" s="1627">
        <v>29000</v>
      </c>
      <c r="D187" s="1627"/>
      <c r="E187" s="1627">
        <v>29000</v>
      </c>
      <c r="F187" s="829">
        <f t="shared" si="12"/>
        <v>0</v>
      </c>
      <c r="G187" s="829">
        <f t="shared" si="9"/>
        <v>58000</v>
      </c>
    </row>
    <row r="188" spans="1:7" ht="75" x14ac:dyDescent="0.3">
      <c r="A188" s="1848"/>
      <c r="B188" s="1623" t="s">
        <v>2108</v>
      </c>
      <c r="C188" s="1631">
        <v>36200</v>
      </c>
      <c r="D188" s="1631"/>
      <c r="E188" s="1625">
        <v>36200</v>
      </c>
      <c r="F188" s="829">
        <f t="shared" si="12"/>
        <v>0</v>
      </c>
      <c r="G188" s="829">
        <f t="shared" si="9"/>
        <v>72400</v>
      </c>
    </row>
    <row r="189" spans="1:7" ht="93.75" x14ac:dyDescent="0.3">
      <c r="A189" s="1848"/>
      <c r="B189" s="1628" t="s">
        <v>2109</v>
      </c>
      <c r="C189" s="1625">
        <v>91044</v>
      </c>
      <c r="D189" s="1625"/>
      <c r="E189" s="1625">
        <v>91044</v>
      </c>
      <c r="F189" s="829">
        <f t="shared" si="12"/>
        <v>0</v>
      </c>
      <c r="G189" s="829">
        <f t="shared" si="9"/>
        <v>182088</v>
      </c>
    </row>
    <row r="190" spans="1:7" ht="131.25" x14ac:dyDescent="0.3">
      <c r="A190" s="1848"/>
      <c r="B190" s="1628" t="s">
        <v>2110</v>
      </c>
      <c r="C190" s="1625">
        <v>50000</v>
      </c>
      <c r="D190" s="1625"/>
      <c r="E190" s="1625">
        <v>50000</v>
      </c>
      <c r="F190" s="829">
        <f t="shared" si="12"/>
        <v>0</v>
      </c>
      <c r="G190" s="829">
        <f t="shared" si="9"/>
        <v>100000</v>
      </c>
    </row>
    <row r="191" spans="1:7" ht="131.25" x14ac:dyDescent="0.3">
      <c r="A191" s="1848"/>
      <c r="B191" s="1628" t="s">
        <v>2111</v>
      </c>
      <c r="C191" s="1625">
        <v>41000</v>
      </c>
      <c r="D191" s="1625"/>
      <c r="E191" s="1625">
        <v>41000</v>
      </c>
      <c r="F191" s="829"/>
      <c r="G191" s="829">
        <f t="shared" si="9"/>
        <v>82000</v>
      </c>
    </row>
    <row r="192" spans="1:7" ht="112.5" x14ac:dyDescent="0.3">
      <c r="A192" s="1848"/>
      <c r="B192" s="1623" t="s">
        <v>2112</v>
      </c>
      <c r="C192" s="1625">
        <v>191044</v>
      </c>
      <c r="D192" s="1625"/>
      <c r="E192" s="1625">
        <v>191044</v>
      </c>
      <c r="F192" s="829"/>
      <c r="G192" s="829">
        <f t="shared" si="9"/>
        <v>382088</v>
      </c>
    </row>
    <row r="193" spans="1:7" ht="93.75" x14ac:dyDescent="0.3">
      <c r="A193" s="1848"/>
      <c r="B193" s="1628" t="s">
        <v>2113</v>
      </c>
      <c r="C193" s="1625">
        <v>27000</v>
      </c>
      <c r="D193" s="1625">
        <v>11600</v>
      </c>
      <c r="E193" s="1625">
        <v>15400</v>
      </c>
      <c r="F193" s="829"/>
      <c r="G193" s="829">
        <f t="shared" si="9"/>
        <v>54000</v>
      </c>
    </row>
    <row r="194" spans="1:7" ht="56.25" x14ac:dyDescent="0.3">
      <c r="A194" s="1848"/>
      <c r="B194" s="1612" t="s">
        <v>2114</v>
      </c>
      <c r="C194" s="1625">
        <v>10000</v>
      </c>
      <c r="D194" s="1625"/>
      <c r="E194" s="1625">
        <v>10000</v>
      </c>
      <c r="F194" s="829"/>
      <c r="G194" s="829">
        <f t="shared" si="9"/>
        <v>20000</v>
      </c>
    </row>
    <row r="195" spans="1:7" ht="75" x14ac:dyDescent="0.3">
      <c r="A195" s="1848"/>
      <c r="B195" s="1612" t="s">
        <v>2115</v>
      </c>
      <c r="C195" s="1625">
        <v>150000</v>
      </c>
      <c r="D195" s="1625"/>
      <c r="E195" s="1625">
        <v>150000</v>
      </c>
      <c r="F195" s="829"/>
      <c r="G195" s="829">
        <f t="shared" si="9"/>
        <v>300000</v>
      </c>
    </row>
    <row r="196" spans="1:7" hidden="1" x14ac:dyDescent="0.3">
      <c r="A196" s="1848"/>
      <c r="B196" s="985"/>
      <c r="C196" s="1442"/>
      <c r="D196" s="1442"/>
      <c r="E196" s="1442"/>
      <c r="F196" s="829"/>
      <c r="G196" s="829">
        <f t="shared" si="9"/>
        <v>0</v>
      </c>
    </row>
    <row r="197" spans="1:7" hidden="1" x14ac:dyDescent="0.3">
      <c r="A197" s="1848"/>
      <c r="B197" s="985"/>
      <c r="C197" s="1442"/>
      <c r="D197" s="1442"/>
      <c r="E197" s="1442"/>
      <c r="F197" s="829"/>
      <c r="G197" s="829">
        <f t="shared" si="9"/>
        <v>0</v>
      </c>
    </row>
    <row r="198" spans="1:7" hidden="1" x14ac:dyDescent="0.3">
      <c r="A198" s="1848"/>
      <c r="B198" s="985"/>
      <c r="C198" s="1442"/>
      <c r="D198" s="1442"/>
      <c r="E198" s="1442"/>
      <c r="F198" s="829"/>
      <c r="G198" s="829">
        <f t="shared" si="9"/>
        <v>0</v>
      </c>
    </row>
    <row r="199" spans="1:7" hidden="1" x14ac:dyDescent="0.3">
      <c r="A199" s="1848"/>
      <c r="B199" s="985"/>
      <c r="C199" s="1442"/>
      <c r="D199" s="1442"/>
      <c r="E199" s="1442"/>
      <c r="F199" s="829"/>
      <c r="G199" s="829">
        <f t="shared" si="9"/>
        <v>0</v>
      </c>
    </row>
    <row r="200" spans="1:7" hidden="1" x14ac:dyDescent="0.3">
      <c r="A200" s="1848"/>
      <c r="B200" s="985"/>
      <c r="C200" s="1442"/>
      <c r="D200" s="1442"/>
      <c r="E200" s="1442"/>
      <c r="F200" s="829"/>
      <c r="G200" s="829">
        <f t="shared" si="9"/>
        <v>0</v>
      </c>
    </row>
    <row r="201" spans="1:7" hidden="1" x14ac:dyDescent="0.3">
      <c r="A201" s="1848"/>
      <c r="B201" s="985"/>
      <c r="C201" s="1442"/>
      <c r="D201" s="1442"/>
      <c r="E201" s="1442"/>
      <c r="F201" s="829">
        <f t="shared" si="12"/>
        <v>0</v>
      </c>
      <c r="G201" s="829">
        <f t="shared" ref="G201:G264" si="13">SUM(C201:E201)</f>
        <v>0</v>
      </c>
    </row>
    <row r="202" spans="1:7" hidden="1" x14ac:dyDescent="0.3">
      <c r="A202" s="1848"/>
      <c r="B202" s="985"/>
      <c r="C202" s="1442"/>
      <c r="D202" s="1442"/>
      <c r="E202" s="1442"/>
      <c r="F202" s="829">
        <f t="shared" si="12"/>
        <v>0</v>
      </c>
      <c r="G202" s="829">
        <f t="shared" si="13"/>
        <v>0</v>
      </c>
    </row>
    <row r="203" spans="1:7" hidden="1" x14ac:dyDescent="0.3">
      <c r="A203" s="1848"/>
      <c r="B203" s="985"/>
      <c r="C203" s="1442"/>
      <c r="D203" s="1442"/>
      <c r="E203" s="1442"/>
      <c r="F203" s="829">
        <f t="shared" si="12"/>
        <v>0</v>
      </c>
      <c r="G203" s="829">
        <f t="shared" si="13"/>
        <v>0</v>
      </c>
    </row>
    <row r="204" spans="1:7" hidden="1" x14ac:dyDescent="0.3">
      <c r="A204" s="1848"/>
      <c r="B204" s="985"/>
      <c r="C204" s="1442"/>
      <c r="D204" s="1442"/>
      <c r="E204" s="1442"/>
      <c r="F204" s="829">
        <f t="shared" si="12"/>
        <v>0</v>
      </c>
      <c r="G204" s="829">
        <f t="shared" si="13"/>
        <v>0</v>
      </c>
    </row>
    <row r="205" spans="1:7" hidden="1" x14ac:dyDescent="0.3">
      <c r="A205" s="1848"/>
      <c r="B205" s="985"/>
      <c r="C205" s="1442"/>
      <c r="D205" s="1442"/>
      <c r="E205" s="1442"/>
      <c r="F205" s="829">
        <f t="shared" si="12"/>
        <v>0</v>
      </c>
      <c r="G205" s="829">
        <f t="shared" si="13"/>
        <v>0</v>
      </c>
    </row>
    <row r="206" spans="1:7" hidden="1" x14ac:dyDescent="0.3">
      <c r="A206" s="1848"/>
      <c r="B206" s="985"/>
      <c r="C206" s="1442"/>
      <c r="D206" s="1442"/>
      <c r="E206" s="1442"/>
      <c r="F206" s="829">
        <f t="shared" si="12"/>
        <v>0</v>
      </c>
      <c r="G206" s="829">
        <f t="shared" si="13"/>
        <v>0</v>
      </c>
    </row>
    <row r="207" spans="1:7" hidden="1" x14ac:dyDescent="0.3">
      <c r="A207" s="1848"/>
      <c r="B207" s="985"/>
      <c r="C207" s="1442"/>
      <c r="D207" s="1442"/>
      <c r="E207" s="1442"/>
      <c r="F207" s="829">
        <f t="shared" si="12"/>
        <v>0</v>
      </c>
      <c r="G207" s="829">
        <f t="shared" si="13"/>
        <v>0</v>
      </c>
    </row>
    <row r="208" spans="1:7" hidden="1" x14ac:dyDescent="0.3">
      <c r="A208" s="1848"/>
      <c r="B208" s="985"/>
      <c r="C208" s="1442"/>
      <c r="D208" s="1442"/>
      <c r="E208" s="1442"/>
      <c r="F208" s="829">
        <f t="shared" si="12"/>
        <v>0</v>
      </c>
      <c r="G208" s="829">
        <f t="shared" si="13"/>
        <v>0</v>
      </c>
    </row>
    <row r="209" spans="1:7" hidden="1" x14ac:dyDescent="0.3">
      <c r="A209" s="1848"/>
      <c r="B209" s="985"/>
      <c r="C209" s="1442"/>
      <c r="D209" s="1442"/>
      <c r="E209" s="1442"/>
      <c r="F209" s="829">
        <f t="shared" si="12"/>
        <v>0</v>
      </c>
      <c r="G209" s="829">
        <f t="shared" si="13"/>
        <v>0</v>
      </c>
    </row>
    <row r="210" spans="1:7" hidden="1" x14ac:dyDescent="0.3">
      <c r="A210" s="1848"/>
      <c r="B210" s="985"/>
      <c r="C210" s="1442"/>
      <c r="D210" s="1442"/>
      <c r="E210" s="1442"/>
      <c r="F210" s="829">
        <f t="shared" si="12"/>
        <v>0</v>
      </c>
      <c r="G210" s="829">
        <f t="shared" si="13"/>
        <v>0</v>
      </c>
    </row>
    <row r="211" spans="1:7" hidden="1" x14ac:dyDescent="0.3">
      <c r="A211" s="1848"/>
      <c r="B211" s="985"/>
      <c r="C211" s="1442"/>
      <c r="D211" s="1442"/>
      <c r="E211" s="1442"/>
      <c r="F211" s="829">
        <f t="shared" si="12"/>
        <v>0</v>
      </c>
      <c r="G211" s="829">
        <f t="shared" si="13"/>
        <v>0</v>
      </c>
    </row>
    <row r="212" spans="1:7" hidden="1" x14ac:dyDescent="0.3">
      <c r="A212" s="1848"/>
      <c r="B212" s="985"/>
      <c r="C212" s="1442"/>
      <c r="D212" s="1442"/>
      <c r="E212" s="1442"/>
      <c r="F212" s="829">
        <f t="shared" si="12"/>
        <v>0</v>
      </c>
      <c r="G212" s="829">
        <f t="shared" si="13"/>
        <v>0</v>
      </c>
    </row>
    <row r="213" spans="1:7" hidden="1" x14ac:dyDescent="0.3">
      <c r="A213" s="1848"/>
      <c r="B213" s="985"/>
      <c r="C213" s="1442"/>
      <c r="D213" s="1442"/>
      <c r="E213" s="1442"/>
      <c r="F213" s="829">
        <f t="shared" si="12"/>
        <v>0</v>
      </c>
      <c r="G213" s="829">
        <f t="shared" si="13"/>
        <v>0</v>
      </c>
    </row>
    <row r="214" spans="1:7" hidden="1" x14ac:dyDescent="0.3">
      <c r="A214" s="1848"/>
      <c r="B214" s="507"/>
      <c r="C214" s="565"/>
      <c r="D214" s="565"/>
      <c r="E214" s="586"/>
      <c r="F214" s="829">
        <f t="shared" si="12"/>
        <v>0</v>
      </c>
      <c r="G214" s="829">
        <f t="shared" si="13"/>
        <v>0</v>
      </c>
    </row>
    <row r="215" spans="1:7" hidden="1" x14ac:dyDescent="0.3">
      <c r="A215" s="1848"/>
      <c r="B215" s="507"/>
      <c r="C215" s="565"/>
      <c r="D215" s="565"/>
      <c r="E215" s="586"/>
      <c r="F215" s="829">
        <f t="shared" si="12"/>
        <v>0</v>
      </c>
      <c r="G215" s="829">
        <f t="shared" si="13"/>
        <v>0</v>
      </c>
    </row>
    <row r="216" spans="1:7" hidden="1" x14ac:dyDescent="0.3">
      <c r="A216" s="1848"/>
      <c r="B216" s="507"/>
      <c r="C216" s="565"/>
      <c r="D216" s="565"/>
      <c r="E216" s="586"/>
      <c r="F216" s="829">
        <f t="shared" si="12"/>
        <v>0</v>
      </c>
      <c r="G216" s="829">
        <f t="shared" si="13"/>
        <v>0</v>
      </c>
    </row>
    <row r="217" spans="1:7" hidden="1" x14ac:dyDescent="0.3">
      <c r="A217" s="1848"/>
      <c r="B217" s="507"/>
      <c r="C217" s="565"/>
      <c r="D217" s="565"/>
      <c r="E217" s="586"/>
      <c r="F217" s="829">
        <f t="shared" si="12"/>
        <v>0</v>
      </c>
      <c r="G217" s="829">
        <f t="shared" si="13"/>
        <v>0</v>
      </c>
    </row>
    <row r="218" spans="1:7" hidden="1" x14ac:dyDescent="0.3">
      <c r="A218" s="1848"/>
      <c r="B218" s="507"/>
      <c r="C218" s="565"/>
      <c r="D218" s="565"/>
      <c r="E218" s="586"/>
      <c r="F218" s="829">
        <f t="shared" si="12"/>
        <v>0</v>
      </c>
      <c r="G218" s="829">
        <f t="shared" si="13"/>
        <v>0</v>
      </c>
    </row>
    <row r="219" spans="1:7" s="435" customFormat="1" x14ac:dyDescent="0.3">
      <c r="A219" s="1848"/>
      <c r="B219" s="862" t="s">
        <v>740</v>
      </c>
      <c r="C219" s="1438">
        <f>SUM(C160:C218)</f>
        <v>5034942</v>
      </c>
      <c r="D219" s="1438">
        <f>SUM(D160:D218)</f>
        <v>2006300</v>
      </c>
      <c r="E219" s="1438">
        <f>SUM(E160:E218)</f>
        <v>3028642</v>
      </c>
      <c r="F219" s="829">
        <f t="shared" si="12"/>
        <v>0</v>
      </c>
      <c r="G219" s="829">
        <f t="shared" si="13"/>
        <v>10069884</v>
      </c>
    </row>
    <row r="220" spans="1:7" s="435" customFormat="1" ht="112.5" hidden="1" x14ac:dyDescent="0.3">
      <c r="A220" s="1848" t="s">
        <v>1081</v>
      </c>
      <c r="B220" s="506" t="s">
        <v>618</v>
      </c>
      <c r="C220" s="586"/>
      <c r="D220" s="586"/>
      <c r="E220" s="586"/>
      <c r="F220" s="829">
        <f t="shared" si="12"/>
        <v>0</v>
      </c>
      <c r="G220" s="829">
        <f t="shared" si="13"/>
        <v>0</v>
      </c>
    </row>
    <row r="221" spans="1:7" s="435" customFormat="1" ht="75" x14ac:dyDescent="0.3">
      <c r="A221" s="1848"/>
      <c r="B221" s="507" t="s">
        <v>617</v>
      </c>
      <c r="C221" s="565">
        <v>122300</v>
      </c>
      <c r="D221" s="565">
        <v>122300</v>
      </c>
      <c r="E221" s="586"/>
      <c r="F221" s="829">
        <f t="shared" si="12"/>
        <v>0</v>
      </c>
      <c r="G221" s="829">
        <f t="shared" si="13"/>
        <v>244600</v>
      </c>
    </row>
    <row r="222" spans="1:7" s="435" customFormat="1" ht="75" x14ac:dyDescent="0.3">
      <c r="A222" s="1848"/>
      <c r="B222" s="1118" t="s">
        <v>1233</v>
      </c>
      <c r="C222" s="1439">
        <v>70000</v>
      </c>
      <c r="D222" s="1439">
        <v>70000</v>
      </c>
      <c r="E222" s="1439"/>
      <c r="F222" s="829">
        <f t="shared" si="12"/>
        <v>0</v>
      </c>
      <c r="G222" s="829">
        <f t="shared" si="13"/>
        <v>140000</v>
      </c>
    </row>
    <row r="223" spans="1:7" s="435" customFormat="1" ht="112.5" x14ac:dyDescent="0.3">
      <c r="A223" s="1848"/>
      <c r="B223" s="1118" t="s">
        <v>1234</v>
      </c>
      <c r="C223" s="1439">
        <v>30000</v>
      </c>
      <c r="D223" s="1439">
        <v>30000</v>
      </c>
      <c r="E223" s="1439"/>
      <c r="F223" s="829">
        <f t="shared" ref="F223:F302" si="14">E223+D223-C223</f>
        <v>0</v>
      </c>
      <c r="G223" s="829">
        <f t="shared" si="13"/>
        <v>60000</v>
      </c>
    </row>
    <row r="224" spans="1:7" s="435" customFormat="1" ht="112.5" x14ac:dyDescent="0.3">
      <c r="A224" s="1848"/>
      <c r="B224" s="1121" t="s">
        <v>1235</v>
      </c>
      <c r="C224" s="1626">
        <v>40000</v>
      </c>
      <c r="D224" s="1622">
        <v>40000</v>
      </c>
      <c r="E224" s="1440"/>
      <c r="F224" s="829">
        <f t="shared" si="14"/>
        <v>0</v>
      </c>
      <c r="G224" s="829">
        <f t="shared" si="13"/>
        <v>80000</v>
      </c>
    </row>
    <row r="225" spans="1:7" s="435" customFormat="1" ht="112.5" x14ac:dyDescent="0.3">
      <c r="A225" s="1848"/>
      <c r="B225" s="862" t="s">
        <v>1534</v>
      </c>
      <c r="C225" s="1438">
        <f>SUM(D225:E225)</f>
        <v>22260</v>
      </c>
      <c r="D225" s="1438">
        <v>22260</v>
      </c>
      <c r="E225" s="1440"/>
      <c r="F225" s="829">
        <f t="shared" si="14"/>
        <v>0</v>
      </c>
      <c r="G225" s="829">
        <f t="shared" si="13"/>
        <v>44520</v>
      </c>
    </row>
    <row r="226" spans="1:7" s="435" customFormat="1" hidden="1" x14ac:dyDescent="0.3">
      <c r="A226" s="1848"/>
      <c r="B226" s="862"/>
      <c r="C226" s="1438">
        <f>SUM(D226:E226)</f>
        <v>0</v>
      </c>
      <c r="D226" s="1439"/>
      <c r="E226" s="1440"/>
      <c r="F226" s="829">
        <f t="shared" si="14"/>
        <v>0</v>
      </c>
      <c r="G226" s="829">
        <f t="shared" si="13"/>
        <v>0</v>
      </c>
    </row>
    <row r="227" spans="1:7" s="435" customFormat="1" hidden="1" x14ac:dyDescent="0.3">
      <c r="A227" s="1848"/>
      <c r="B227" s="862"/>
      <c r="C227" s="1438">
        <f>SUM(D227:E227)</f>
        <v>0</v>
      </c>
      <c r="D227" s="1439"/>
      <c r="E227" s="1440"/>
      <c r="F227" s="829">
        <f t="shared" si="14"/>
        <v>0</v>
      </c>
      <c r="G227" s="829">
        <f t="shared" si="13"/>
        <v>0</v>
      </c>
    </row>
    <row r="228" spans="1:7" s="435" customFormat="1" hidden="1" x14ac:dyDescent="0.3">
      <c r="A228" s="1848"/>
      <c r="B228" s="862"/>
      <c r="C228" s="1438">
        <f>SUM(D228:E228)</f>
        <v>0</v>
      </c>
      <c r="D228" s="1439"/>
      <c r="E228" s="1440"/>
      <c r="F228" s="829">
        <f t="shared" si="14"/>
        <v>0</v>
      </c>
      <c r="G228" s="829">
        <f t="shared" si="13"/>
        <v>0</v>
      </c>
    </row>
    <row r="229" spans="1:7" s="435" customFormat="1" hidden="1" x14ac:dyDescent="0.3">
      <c r="A229" s="1848"/>
      <c r="B229" s="862"/>
      <c r="C229" s="1438">
        <f>SUM(D229:E229)</f>
        <v>0</v>
      </c>
      <c r="D229" s="1439"/>
      <c r="E229" s="1440"/>
      <c r="F229" s="829">
        <f t="shared" si="14"/>
        <v>0</v>
      </c>
      <c r="G229" s="829">
        <f t="shared" si="13"/>
        <v>0</v>
      </c>
    </row>
    <row r="230" spans="1:7" s="435" customFormat="1" x14ac:dyDescent="0.3">
      <c r="A230" s="1848"/>
      <c r="B230" s="862" t="s">
        <v>740</v>
      </c>
      <c r="C230" s="1438">
        <f>SUM(C220:C229)</f>
        <v>284560</v>
      </c>
      <c r="D230" s="1438">
        <f>SUM(D220:D229)</f>
        <v>284560</v>
      </c>
      <c r="E230" s="1438">
        <f>SUM(E220:E229)</f>
        <v>0</v>
      </c>
      <c r="F230" s="829">
        <f t="shared" si="14"/>
        <v>0</v>
      </c>
      <c r="G230" s="829">
        <f t="shared" si="13"/>
        <v>569120</v>
      </c>
    </row>
    <row r="231" spans="1:7" s="435" customFormat="1" ht="75" x14ac:dyDescent="0.3">
      <c r="A231" s="1848" t="s">
        <v>1082</v>
      </c>
      <c r="B231" s="507" t="s">
        <v>617</v>
      </c>
      <c r="C231" s="565">
        <v>70000</v>
      </c>
      <c r="D231" s="565">
        <v>70000</v>
      </c>
      <c r="E231" s="586"/>
      <c r="F231" s="829">
        <f t="shared" si="14"/>
        <v>0</v>
      </c>
      <c r="G231" s="829">
        <f t="shared" si="13"/>
        <v>140000</v>
      </c>
    </row>
    <row r="232" spans="1:7" s="435" customFormat="1" ht="37.5" x14ac:dyDescent="0.3">
      <c r="A232" s="1848"/>
      <c r="B232" s="1122" t="s">
        <v>1239</v>
      </c>
      <c r="C232" s="1633">
        <v>50000</v>
      </c>
      <c r="D232" s="1622"/>
      <c r="E232" s="1440">
        <v>50000</v>
      </c>
      <c r="F232" s="829">
        <f t="shared" si="14"/>
        <v>0</v>
      </c>
      <c r="G232" s="829">
        <f t="shared" si="13"/>
        <v>100000</v>
      </c>
    </row>
    <row r="233" spans="1:7" s="435" customFormat="1" ht="112.5" x14ac:dyDescent="0.3">
      <c r="A233" s="1848"/>
      <c r="B233" s="862" t="s">
        <v>1534</v>
      </c>
      <c r="C233" s="1438">
        <f>SUM(D233:E233)</f>
        <v>33390</v>
      </c>
      <c r="D233" s="1438">
        <v>33390</v>
      </c>
      <c r="E233" s="1440"/>
      <c r="F233" s="829">
        <f t="shared" si="14"/>
        <v>0</v>
      </c>
      <c r="G233" s="829">
        <f t="shared" si="13"/>
        <v>66780</v>
      </c>
    </row>
    <row r="234" spans="1:7" s="435" customFormat="1" ht="75" x14ac:dyDescent="0.3">
      <c r="A234" s="1848"/>
      <c r="B234" s="862" t="s">
        <v>1603</v>
      </c>
      <c r="C234" s="1457">
        <v>43800</v>
      </c>
      <c r="D234" s="1457">
        <v>43800</v>
      </c>
      <c r="E234" s="1457"/>
      <c r="F234" s="829">
        <f t="shared" si="14"/>
        <v>0</v>
      </c>
      <c r="G234" s="829">
        <f t="shared" si="13"/>
        <v>87600</v>
      </c>
    </row>
    <row r="235" spans="1:7" s="435" customFormat="1" ht="56.25" x14ac:dyDescent="0.3">
      <c r="A235" s="1848"/>
      <c r="B235" s="862" t="s">
        <v>1604</v>
      </c>
      <c r="C235" s="1457">
        <v>20000</v>
      </c>
      <c r="D235" s="1457">
        <v>20000</v>
      </c>
      <c r="E235" s="1457"/>
      <c r="F235" s="829">
        <f t="shared" si="14"/>
        <v>0</v>
      </c>
      <c r="G235" s="829">
        <f t="shared" si="13"/>
        <v>40000</v>
      </c>
    </row>
    <row r="236" spans="1:7" s="435" customFormat="1" ht="206.25" x14ac:dyDescent="0.3">
      <c r="A236" s="1848"/>
      <c r="B236" s="1623" t="s">
        <v>2116</v>
      </c>
      <c r="C236" s="1625">
        <v>100000</v>
      </c>
      <c r="D236" s="1625"/>
      <c r="E236" s="1625">
        <v>100000</v>
      </c>
      <c r="F236" s="829">
        <f t="shared" si="14"/>
        <v>0</v>
      </c>
      <c r="G236" s="829">
        <f t="shared" si="13"/>
        <v>200000</v>
      </c>
    </row>
    <row r="237" spans="1:7" s="435" customFormat="1" ht="206.25" x14ac:dyDescent="0.3">
      <c r="A237" s="1848"/>
      <c r="B237" s="1623" t="s">
        <v>2116</v>
      </c>
      <c r="C237" s="1624">
        <v>100000</v>
      </c>
      <c r="D237" s="1625"/>
      <c r="E237" s="1625">
        <v>100000</v>
      </c>
      <c r="F237" s="829">
        <f t="shared" si="14"/>
        <v>0</v>
      </c>
      <c r="G237" s="829">
        <f t="shared" si="13"/>
        <v>200000</v>
      </c>
    </row>
    <row r="238" spans="1:7" s="435" customFormat="1" hidden="1" x14ac:dyDescent="0.3">
      <c r="A238" s="1848"/>
      <c r="B238" s="862"/>
      <c r="C238" s="1438">
        <f>SUM(D238:E238)</f>
        <v>0</v>
      </c>
      <c r="D238" s="1439"/>
      <c r="E238" s="1440"/>
      <c r="F238" s="829">
        <f t="shared" si="14"/>
        <v>0</v>
      </c>
      <c r="G238" s="829">
        <f t="shared" si="13"/>
        <v>0</v>
      </c>
    </row>
    <row r="239" spans="1:7" s="435" customFormat="1" hidden="1" x14ac:dyDescent="0.3">
      <c r="A239" s="1848"/>
      <c r="B239" s="862"/>
      <c r="C239" s="1438">
        <f>SUM(D239:E239)</f>
        <v>0</v>
      </c>
      <c r="D239" s="1439"/>
      <c r="E239" s="1440"/>
      <c r="F239" s="829">
        <f t="shared" si="14"/>
        <v>0</v>
      </c>
      <c r="G239" s="829">
        <f t="shared" si="13"/>
        <v>0</v>
      </c>
    </row>
    <row r="240" spans="1:7" s="435" customFormat="1" hidden="1" x14ac:dyDescent="0.3">
      <c r="A240" s="1848"/>
      <c r="B240" s="862"/>
      <c r="C240" s="1438">
        <f>SUM(D240:E240)</f>
        <v>0</v>
      </c>
      <c r="D240" s="1439"/>
      <c r="E240" s="1440"/>
      <c r="F240" s="829">
        <f t="shared" si="14"/>
        <v>0</v>
      </c>
      <c r="G240" s="829">
        <f t="shared" si="13"/>
        <v>0</v>
      </c>
    </row>
    <row r="241" spans="1:7" s="435" customFormat="1" x14ac:dyDescent="0.3">
      <c r="A241" s="1848"/>
      <c r="B241" s="862" t="s">
        <v>740</v>
      </c>
      <c r="C241" s="1438">
        <f>SUM(C231:C240)</f>
        <v>417190</v>
      </c>
      <c r="D241" s="1438">
        <f>SUM(D231:D240)</f>
        <v>167190</v>
      </c>
      <c r="E241" s="1438">
        <f>SUM(E231:E240)</f>
        <v>250000</v>
      </c>
      <c r="F241" s="829">
        <f t="shared" si="14"/>
        <v>0</v>
      </c>
      <c r="G241" s="829">
        <f t="shared" si="13"/>
        <v>834380</v>
      </c>
    </row>
    <row r="242" spans="1:7" s="435" customFormat="1" ht="75" x14ac:dyDescent="0.3">
      <c r="A242" s="1848" t="s">
        <v>1083</v>
      </c>
      <c r="B242" s="507" t="s">
        <v>617</v>
      </c>
      <c r="C242" s="586">
        <v>4700</v>
      </c>
      <c r="D242" s="586">
        <v>4700</v>
      </c>
      <c r="E242" s="586"/>
      <c r="F242" s="829">
        <f t="shared" si="14"/>
        <v>0</v>
      </c>
      <c r="G242" s="829">
        <f t="shared" si="13"/>
        <v>9400</v>
      </c>
    </row>
    <row r="243" spans="1:7" s="435" customFormat="1" ht="37.5" x14ac:dyDescent="0.3">
      <c r="A243" s="1848"/>
      <c r="B243" s="1118" t="s">
        <v>1244</v>
      </c>
      <c r="C243" s="1439">
        <v>50000</v>
      </c>
      <c r="D243" s="1439">
        <v>50000</v>
      </c>
      <c r="E243" s="1439"/>
      <c r="F243" s="829">
        <f t="shared" si="14"/>
        <v>0</v>
      </c>
      <c r="G243" s="829">
        <f t="shared" si="13"/>
        <v>100000</v>
      </c>
    </row>
    <row r="244" spans="1:7" s="435" customFormat="1" ht="37.5" x14ac:dyDescent="0.3">
      <c r="A244" s="1848"/>
      <c r="B244" s="862" t="s">
        <v>1539</v>
      </c>
      <c r="C244" s="565">
        <v>11000</v>
      </c>
      <c r="D244" s="565">
        <v>11000</v>
      </c>
      <c r="E244" s="565"/>
      <c r="F244" s="829">
        <f t="shared" si="14"/>
        <v>0</v>
      </c>
      <c r="G244" s="829">
        <f t="shared" si="13"/>
        <v>22000</v>
      </c>
    </row>
    <row r="245" spans="1:7" s="435" customFormat="1" ht="56.25" x14ac:dyDescent="0.3">
      <c r="A245" s="1848"/>
      <c r="B245" s="506" t="s">
        <v>1978</v>
      </c>
      <c r="C245" s="565">
        <v>72000</v>
      </c>
      <c r="D245" s="565">
        <v>72000</v>
      </c>
      <c r="E245" s="586"/>
      <c r="F245" s="829">
        <f t="shared" si="14"/>
        <v>0</v>
      </c>
      <c r="G245" s="829">
        <f t="shared" si="13"/>
        <v>144000</v>
      </c>
    </row>
    <row r="246" spans="1:7" s="435" customFormat="1" ht="75" x14ac:dyDescent="0.3">
      <c r="A246" s="1848"/>
      <c r="B246" s="506" t="s">
        <v>1979</v>
      </c>
      <c r="C246" s="565">
        <v>28000</v>
      </c>
      <c r="D246" s="565">
        <v>28000</v>
      </c>
      <c r="E246" s="586"/>
      <c r="F246" s="829">
        <f t="shared" si="14"/>
        <v>0</v>
      </c>
      <c r="G246" s="829">
        <f t="shared" si="13"/>
        <v>56000</v>
      </c>
    </row>
    <row r="247" spans="1:7" s="435" customFormat="1" ht="56.25" x14ac:dyDescent="0.3">
      <c r="A247" s="1848"/>
      <c r="B247" s="862" t="s">
        <v>2011</v>
      </c>
      <c r="C247" s="1627">
        <v>28956</v>
      </c>
      <c r="D247" s="1627">
        <v>28956</v>
      </c>
      <c r="E247" s="1627"/>
      <c r="F247" s="829">
        <f t="shared" si="14"/>
        <v>0</v>
      </c>
      <c r="G247" s="829">
        <f t="shared" si="13"/>
        <v>57912</v>
      </c>
    </row>
    <row r="248" spans="1:7" s="435" customFormat="1" ht="37.5" x14ac:dyDescent="0.3">
      <c r="A248" s="1848"/>
      <c r="B248" s="862" t="s">
        <v>2012</v>
      </c>
      <c r="C248" s="1627">
        <v>40000</v>
      </c>
      <c r="D248" s="1627">
        <v>30000</v>
      </c>
      <c r="E248" s="1627">
        <v>10000</v>
      </c>
      <c r="F248" s="829">
        <f t="shared" si="14"/>
        <v>0</v>
      </c>
      <c r="G248" s="829">
        <f t="shared" si="13"/>
        <v>80000</v>
      </c>
    </row>
    <row r="249" spans="1:7" s="435" customFormat="1" ht="93.75" x14ac:dyDescent="0.3">
      <c r="A249" s="1848"/>
      <c r="B249" s="862" t="s">
        <v>2013</v>
      </c>
      <c r="C249" s="1627">
        <v>20000</v>
      </c>
      <c r="D249" s="1627">
        <v>20000</v>
      </c>
      <c r="E249" s="1627"/>
      <c r="F249" s="829">
        <f t="shared" si="14"/>
        <v>0</v>
      </c>
      <c r="G249" s="829">
        <f t="shared" si="13"/>
        <v>40000</v>
      </c>
    </row>
    <row r="250" spans="1:7" s="435" customFormat="1" ht="75" x14ac:dyDescent="0.3">
      <c r="A250" s="1848"/>
      <c r="B250" s="1612" t="s">
        <v>2117</v>
      </c>
      <c r="C250" s="1625">
        <v>50000</v>
      </c>
      <c r="D250" s="1625">
        <v>50000</v>
      </c>
      <c r="E250" s="1625"/>
      <c r="F250" s="829">
        <f t="shared" si="14"/>
        <v>0</v>
      </c>
      <c r="G250" s="829">
        <f t="shared" si="13"/>
        <v>100000</v>
      </c>
    </row>
    <row r="251" spans="1:7" s="435" customFormat="1" hidden="1" x14ac:dyDescent="0.3">
      <c r="A251" s="1848"/>
      <c r="B251" s="862"/>
      <c r="C251" s="1438">
        <f>SUM(D251:E251)</f>
        <v>0</v>
      </c>
      <c r="D251" s="1439"/>
      <c r="E251" s="1440"/>
      <c r="F251" s="829">
        <f t="shared" si="14"/>
        <v>0</v>
      </c>
      <c r="G251" s="829">
        <f t="shared" si="13"/>
        <v>0</v>
      </c>
    </row>
    <row r="252" spans="1:7" s="435" customFormat="1" x14ac:dyDescent="0.3">
      <c r="A252" s="1848"/>
      <c r="B252" s="862" t="s">
        <v>740</v>
      </c>
      <c r="C252" s="1438">
        <f>SUM(C242:C251)</f>
        <v>304656</v>
      </c>
      <c r="D252" s="1438">
        <f>SUM(D242:D251)</f>
        <v>294656</v>
      </c>
      <c r="E252" s="1438">
        <f>SUM(E242:E251)</f>
        <v>10000</v>
      </c>
      <c r="F252" s="829">
        <f t="shared" si="14"/>
        <v>0</v>
      </c>
      <c r="G252" s="829">
        <f t="shared" si="13"/>
        <v>609312</v>
      </c>
    </row>
    <row r="253" spans="1:7" s="435" customFormat="1" ht="75" x14ac:dyDescent="0.3">
      <c r="A253" s="1848" t="s">
        <v>1084</v>
      </c>
      <c r="B253" s="507" t="s">
        <v>617</v>
      </c>
      <c r="C253" s="1457">
        <v>527600</v>
      </c>
      <c r="D253" s="1457">
        <v>527600</v>
      </c>
      <c r="E253" s="1117"/>
      <c r="F253" s="829">
        <f t="shared" si="14"/>
        <v>0</v>
      </c>
      <c r="G253" s="829">
        <f t="shared" si="13"/>
        <v>1055200</v>
      </c>
    </row>
    <row r="254" spans="1:7" s="435" customFormat="1" ht="112.5" hidden="1" x14ac:dyDescent="0.3">
      <c r="A254" s="1848"/>
      <c r="B254" s="506" t="s">
        <v>618</v>
      </c>
      <c r="C254" s="565"/>
      <c r="D254" s="565"/>
      <c r="E254" s="586"/>
      <c r="F254" s="829">
        <f t="shared" si="14"/>
        <v>0</v>
      </c>
      <c r="G254" s="829">
        <f t="shared" si="13"/>
        <v>0</v>
      </c>
    </row>
    <row r="255" spans="1:7" s="435" customFormat="1" ht="75" x14ac:dyDescent="0.3">
      <c r="A255" s="1848"/>
      <c r="B255" s="1118" t="s">
        <v>1276</v>
      </c>
      <c r="C255" s="1439">
        <v>150000</v>
      </c>
      <c r="D255" s="1439">
        <v>150000</v>
      </c>
      <c r="E255" s="1439"/>
      <c r="F255" s="829">
        <f t="shared" si="14"/>
        <v>0</v>
      </c>
      <c r="G255" s="829">
        <f t="shared" si="13"/>
        <v>300000</v>
      </c>
    </row>
    <row r="256" spans="1:7" s="435" customFormat="1" ht="56.25" x14ac:dyDescent="0.3">
      <c r="A256" s="1848"/>
      <c r="B256" s="1118" t="s">
        <v>1277</v>
      </c>
      <c r="C256" s="1439">
        <v>50000</v>
      </c>
      <c r="D256" s="1439"/>
      <c r="E256" s="1439">
        <v>50000</v>
      </c>
      <c r="F256" s="829">
        <f t="shared" si="14"/>
        <v>0</v>
      </c>
      <c r="G256" s="829">
        <f t="shared" si="13"/>
        <v>100000</v>
      </c>
    </row>
    <row r="257" spans="1:7" s="435" customFormat="1" ht="37.5" x14ac:dyDescent="0.3">
      <c r="A257" s="1848"/>
      <c r="B257" s="1118" t="s">
        <v>1278</v>
      </c>
      <c r="C257" s="1439">
        <v>40000</v>
      </c>
      <c r="D257" s="1439"/>
      <c r="E257" s="1439">
        <v>40000</v>
      </c>
      <c r="F257" s="829">
        <f t="shared" si="14"/>
        <v>0</v>
      </c>
      <c r="G257" s="829">
        <f t="shared" si="13"/>
        <v>80000</v>
      </c>
    </row>
    <row r="258" spans="1:7" s="435" customFormat="1" ht="56.25" x14ac:dyDescent="0.3">
      <c r="A258" s="1848"/>
      <c r="B258" s="1121" t="s">
        <v>1279</v>
      </c>
      <c r="C258" s="1634">
        <v>200000</v>
      </c>
      <c r="D258" s="1622">
        <v>200000</v>
      </c>
      <c r="E258" s="1440"/>
      <c r="F258" s="829">
        <f t="shared" si="14"/>
        <v>0</v>
      </c>
      <c r="G258" s="829">
        <f t="shared" si="13"/>
        <v>400000</v>
      </c>
    </row>
    <row r="259" spans="1:7" s="435" customFormat="1" ht="75" x14ac:dyDescent="0.3">
      <c r="A259" s="1848"/>
      <c r="B259" s="1121" t="s">
        <v>1280</v>
      </c>
      <c r="C259" s="1634">
        <v>130000</v>
      </c>
      <c r="D259" s="1622">
        <v>130000</v>
      </c>
      <c r="E259" s="1440"/>
      <c r="F259" s="829">
        <f t="shared" si="14"/>
        <v>0</v>
      </c>
      <c r="G259" s="829">
        <f t="shared" si="13"/>
        <v>260000</v>
      </c>
    </row>
    <row r="260" spans="1:7" s="435" customFormat="1" ht="37.5" x14ac:dyDescent="0.3">
      <c r="A260" s="1848"/>
      <c r="B260" s="1121" t="s">
        <v>1281</v>
      </c>
      <c r="C260" s="1634">
        <v>20000</v>
      </c>
      <c r="D260" s="1622"/>
      <c r="E260" s="1440">
        <v>20000</v>
      </c>
      <c r="F260" s="829">
        <f t="shared" si="14"/>
        <v>0</v>
      </c>
      <c r="G260" s="829">
        <f t="shared" si="13"/>
        <v>40000</v>
      </c>
    </row>
    <row r="261" spans="1:7" s="435" customFormat="1" ht="75" x14ac:dyDescent="0.3">
      <c r="A261" s="1848"/>
      <c r="B261" s="1121" t="s">
        <v>1282</v>
      </c>
      <c r="C261" s="1634">
        <v>50000</v>
      </c>
      <c r="D261" s="1622">
        <v>50000</v>
      </c>
      <c r="E261" s="1440"/>
      <c r="F261" s="829">
        <f t="shared" si="14"/>
        <v>0</v>
      </c>
      <c r="G261" s="829">
        <f t="shared" si="13"/>
        <v>100000</v>
      </c>
    </row>
    <row r="262" spans="1:7" s="435" customFormat="1" ht="75" x14ac:dyDescent="0.3">
      <c r="A262" s="1848"/>
      <c r="B262" s="1121" t="s">
        <v>1283</v>
      </c>
      <c r="C262" s="1634">
        <v>50000</v>
      </c>
      <c r="D262" s="1622"/>
      <c r="E262" s="1440">
        <v>50000</v>
      </c>
      <c r="F262" s="829">
        <f t="shared" si="14"/>
        <v>0</v>
      </c>
      <c r="G262" s="829">
        <f t="shared" si="13"/>
        <v>100000</v>
      </c>
    </row>
    <row r="263" spans="1:7" s="435" customFormat="1" ht="37.5" x14ac:dyDescent="0.3">
      <c r="A263" s="1848"/>
      <c r="B263" s="1121" t="s">
        <v>1284</v>
      </c>
      <c r="C263" s="1634">
        <v>50000</v>
      </c>
      <c r="D263" s="1622"/>
      <c r="E263" s="1440">
        <v>50000</v>
      </c>
      <c r="F263" s="829">
        <f t="shared" si="14"/>
        <v>0</v>
      </c>
      <c r="G263" s="829">
        <f t="shared" si="13"/>
        <v>100000</v>
      </c>
    </row>
    <row r="264" spans="1:7" s="435" customFormat="1" ht="37.5" x14ac:dyDescent="0.3">
      <c r="A264" s="1848"/>
      <c r="B264" s="862" t="s">
        <v>1495</v>
      </c>
      <c r="C264" s="565">
        <v>36200</v>
      </c>
      <c r="D264" s="565">
        <v>36200</v>
      </c>
      <c r="E264" s="586"/>
      <c r="F264" s="829">
        <f t="shared" si="14"/>
        <v>0</v>
      </c>
      <c r="G264" s="829">
        <f t="shared" si="13"/>
        <v>72400</v>
      </c>
    </row>
    <row r="265" spans="1:7" s="435" customFormat="1" ht="56.25" x14ac:dyDescent="0.3">
      <c r="A265" s="1848"/>
      <c r="B265" s="1630" t="s">
        <v>1496</v>
      </c>
      <c r="C265" s="565">
        <v>36200</v>
      </c>
      <c r="D265" s="565">
        <v>36200</v>
      </c>
      <c r="E265" s="586"/>
      <c r="F265" s="829">
        <f t="shared" si="14"/>
        <v>0</v>
      </c>
      <c r="G265" s="829">
        <f t="shared" ref="G265:G328" si="15">SUM(C265:E265)</f>
        <v>72400</v>
      </c>
    </row>
    <row r="266" spans="1:7" s="435" customFormat="1" ht="75" x14ac:dyDescent="0.3">
      <c r="A266" s="1848"/>
      <c r="B266" s="1630" t="s">
        <v>1497</v>
      </c>
      <c r="C266" s="565">
        <v>36200</v>
      </c>
      <c r="D266" s="565">
        <v>36200</v>
      </c>
      <c r="E266" s="586"/>
      <c r="F266" s="829">
        <f t="shared" si="14"/>
        <v>0</v>
      </c>
      <c r="G266" s="829">
        <f t="shared" si="15"/>
        <v>72400</v>
      </c>
    </row>
    <row r="267" spans="1:7" s="435" customFormat="1" ht="112.5" x14ac:dyDescent="0.3">
      <c r="A267" s="1848"/>
      <c r="B267" s="862" t="s">
        <v>1534</v>
      </c>
      <c r="C267" s="1438">
        <f>SUM(D267:E267)</f>
        <v>133560</v>
      </c>
      <c r="D267" s="1438">
        <v>133560</v>
      </c>
      <c r="E267" s="1440"/>
      <c r="F267" s="829">
        <f t="shared" si="14"/>
        <v>0</v>
      </c>
      <c r="G267" s="829">
        <f t="shared" si="15"/>
        <v>267120</v>
      </c>
    </row>
    <row r="268" spans="1:7" s="435" customFormat="1" ht="75" x14ac:dyDescent="0.3">
      <c r="A268" s="1848"/>
      <c r="B268" s="506" t="s">
        <v>1605</v>
      </c>
      <c r="C268" s="1438">
        <f>SUM(D268:E268)</f>
        <v>400000</v>
      </c>
      <c r="D268" s="1438"/>
      <c r="E268" s="565">
        <v>400000</v>
      </c>
      <c r="F268" s="829">
        <f t="shared" si="14"/>
        <v>0</v>
      </c>
      <c r="G268" s="829">
        <f t="shared" si="15"/>
        <v>800000</v>
      </c>
    </row>
    <row r="269" spans="1:7" s="435" customFormat="1" ht="37.5" x14ac:dyDescent="0.3">
      <c r="A269" s="1848"/>
      <c r="B269" s="862" t="s">
        <v>1606</v>
      </c>
      <c r="C269" s="1457">
        <v>50000</v>
      </c>
      <c r="D269" s="1457">
        <v>50000</v>
      </c>
      <c r="E269" s="1457"/>
      <c r="F269" s="829">
        <f t="shared" si="14"/>
        <v>0</v>
      </c>
      <c r="G269" s="829">
        <f t="shared" si="15"/>
        <v>100000</v>
      </c>
    </row>
    <row r="270" spans="1:7" s="435" customFormat="1" ht="56.25" x14ac:dyDescent="0.3">
      <c r="A270" s="1848"/>
      <c r="B270" s="862" t="s">
        <v>1607</v>
      </c>
      <c r="C270" s="1457">
        <v>70000</v>
      </c>
      <c r="D270" s="1457">
        <v>70000</v>
      </c>
      <c r="E270" s="1457"/>
      <c r="F270" s="829">
        <f t="shared" si="14"/>
        <v>0</v>
      </c>
      <c r="G270" s="829">
        <f t="shared" si="15"/>
        <v>140000</v>
      </c>
    </row>
    <row r="271" spans="1:7" s="435" customFormat="1" ht="56.25" x14ac:dyDescent="0.3">
      <c r="A271" s="1848"/>
      <c r="B271" s="862" t="s">
        <v>1608</v>
      </c>
      <c r="C271" s="1457">
        <v>28400</v>
      </c>
      <c r="D271" s="1457"/>
      <c r="E271" s="1457">
        <v>28400</v>
      </c>
      <c r="F271" s="829">
        <f t="shared" si="14"/>
        <v>0</v>
      </c>
      <c r="G271" s="829">
        <f t="shared" si="15"/>
        <v>56800</v>
      </c>
    </row>
    <row r="272" spans="1:7" s="435" customFormat="1" ht="56.25" x14ac:dyDescent="0.3">
      <c r="A272" s="1848"/>
      <c r="B272" s="862" t="s">
        <v>1609</v>
      </c>
      <c r="C272" s="1457">
        <v>50000</v>
      </c>
      <c r="D272" s="1457">
        <v>50000</v>
      </c>
      <c r="E272" s="1457"/>
      <c r="F272" s="829">
        <f t="shared" si="14"/>
        <v>0</v>
      </c>
      <c r="G272" s="829">
        <f t="shared" si="15"/>
        <v>100000</v>
      </c>
    </row>
    <row r="273" spans="1:7" s="435" customFormat="1" ht="56.25" x14ac:dyDescent="0.3">
      <c r="A273" s="1848"/>
      <c r="B273" s="862" t="s">
        <v>1610</v>
      </c>
      <c r="C273" s="1457">
        <v>50000</v>
      </c>
      <c r="D273" s="1457">
        <v>38000</v>
      </c>
      <c r="E273" s="1457">
        <v>12000</v>
      </c>
      <c r="F273" s="829">
        <f t="shared" si="14"/>
        <v>0</v>
      </c>
      <c r="G273" s="829">
        <f t="shared" si="15"/>
        <v>100000</v>
      </c>
    </row>
    <row r="274" spans="1:7" s="435" customFormat="1" ht="37.5" x14ac:dyDescent="0.3">
      <c r="A274" s="1848"/>
      <c r="B274" s="862" t="s">
        <v>1611</v>
      </c>
      <c r="C274" s="1457">
        <v>50000</v>
      </c>
      <c r="D274" s="1457">
        <v>50000</v>
      </c>
      <c r="E274" s="1457"/>
      <c r="F274" s="829">
        <f t="shared" si="14"/>
        <v>0</v>
      </c>
      <c r="G274" s="829">
        <f t="shared" si="15"/>
        <v>100000</v>
      </c>
    </row>
    <row r="275" spans="1:7" s="435" customFormat="1" ht="75" x14ac:dyDescent="0.3">
      <c r="A275" s="1848"/>
      <c r="B275" s="506" t="s">
        <v>1882</v>
      </c>
      <c r="C275" s="882">
        <v>363800</v>
      </c>
      <c r="D275" s="882"/>
      <c r="E275" s="882">
        <v>363800</v>
      </c>
      <c r="F275" s="829">
        <f t="shared" si="14"/>
        <v>0</v>
      </c>
      <c r="G275" s="829">
        <f t="shared" si="15"/>
        <v>727600</v>
      </c>
    </row>
    <row r="276" spans="1:7" s="435" customFormat="1" ht="37.5" x14ac:dyDescent="0.3">
      <c r="A276" s="1848"/>
      <c r="B276" s="862" t="s">
        <v>1612</v>
      </c>
      <c r="C276" s="565">
        <v>10000</v>
      </c>
      <c r="D276" s="1457">
        <v>10000</v>
      </c>
      <c r="E276" s="1457"/>
      <c r="F276" s="829">
        <f t="shared" si="14"/>
        <v>0</v>
      </c>
      <c r="G276" s="829">
        <f t="shared" si="15"/>
        <v>20000</v>
      </c>
    </row>
    <row r="277" spans="1:7" s="435" customFormat="1" ht="93.75" x14ac:dyDescent="0.3">
      <c r="A277" s="1848"/>
      <c r="B277" s="506" t="s">
        <v>1993</v>
      </c>
      <c r="C277" s="565">
        <v>70549</v>
      </c>
      <c r="D277" s="565">
        <v>70549</v>
      </c>
      <c r="E277" s="586"/>
      <c r="F277" s="829"/>
      <c r="G277" s="829">
        <f t="shared" si="15"/>
        <v>141098</v>
      </c>
    </row>
    <row r="278" spans="1:7" s="435" customFormat="1" ht="56.25" x14ac:dyDescent="0.3">
      <c r="A278" s="1848"/>
      <c r="B278" s="862" t="s">
        <v>2014</v>
      </c>
      <c r="C278" s="1627">
        <v>29451</v>
      </c>
      <c r="D278" s="1627">
        <v>29451</v>
      </c>
      <c r="E278" s="1627"/>
      <c r="F278" s="829"/>
      <c r="G278" s="829">
        <f t="shared" si="15"/>
        <v>58902</v>
      </c>
    </row>
    <row r="279" spans="1:7" s="435" customFormat="1" ht="56.25" x14ac:dyDescent="0.3">
      <c r="A279" s="1848"/>
      <c r="B279" s="862" t="s">
        <v>2015</v>
      </c>
      <c r="C279" s="1627">
        <v>20000</v>
      </c>
      <c r="D279" s="1627">
        <v>20000</v>
      </c>
      <c r="E279" s="1627"/>
      <c r="F279" s="829"/>
      <c r="G279" s="829">
        <f t="shared" si="15"/>
        <v>40000</v>
      </c>
    </row>
    <row r="280" spans="1:7" s="435" customFormat="1" ht="93.75" x14ac:dyDescent="0.3">
      <c r="A280" s="1848"/>
      <c r="B280" s="1623" t="s">
        <v>2118</v>
      </c>
      <c r="C280" s="1625">
        <v>100000</v>
      </c>
      <c r="D280" s="1625"/>
      <c r="E280" s="1625">
        <v>100000</v>
      </c>
      <c r="F280" s="829"/>
      <c r="G280" s="829">
        <f t="shared" si="15"/>
        <v>200000</v>
      </c>
    </row>
    <row r="281" spans="1:7" s="435" customFormat="1" ht="93.75" x14ac:dyDescent="0.3">
      <c r="A281" s="1848"/>
      <c r="B281" s="1623" t="s">
        <v>2118</v>
      </c>
      <c r="C281" s="1625">
        <v>102294</v>
      </c>
      <c r="D281" s="1625"/>
      <c r="E281" s="1625">
        <v>102294</v>
      </c>
      <c r="F281" s="829"/>
      <c r="G281" s="829">
        <f t="shared" si="15"/>
        <v>204588</v>
      </c>
    </row>
    <row r="282" spans="1:7" s="435" customFormat="1" ht="75" x14ac:dyDescent="0.3">
      <c r="A282" s="1848"/>
      <c r="B282" s="1628" t="s">
        <v>2295</v>
      </c>
      <c r="C282" s="1625">
        <v>15000</v>
      </c>
      <c r="D282" s="1625"/>
      <c r="E282" s="1625">
        <v>15000</v>
      </c>
      <c r="F282" s="829"/>
      <c r="G282" s="829">
        <f t="shared" si="15"/>
        <v>30000</v>
      </c>
    </row>
    <row r="283" spans="1:7" s="435" customFormat="1" ht="56.25" x14ac:dyDescent="0.3">
      <c r="A283" s="1848"/>
      <c r="B283" s="1628" t="s">
        <v>2119</v>
      </c>
      <c r="C283" s="1625">
        <v>15000</v>
      </c>
      <c r="D283" s="1625">
        <v>15000</v>
      </c>
      <c r="E283" s="1625"/>
      <c r="F283" s="829"/>
      <c r="G283" s="829">
        <f t="shared" si="15"/>
        <v>30000</v>
      </c>
    </row>
    <row r="284" spans="1:7" s="435" customFormat="1" ht="37.5" x14ac:dyDescent="0.3">
      <c r="A284" s="1848"/>
      <c r="B284" s="1628" t="s">
        <v>2120</v>
      </c>
      <c r="C284" s="1625">
        <v>15000</v>
      </c>
      <c r="D284" s="1625">
        <v>15000</v>
      </c>
      <c r="E284" s="1625"/>
      <c r="F284" s="829"/>
      <c r="G284" s="829">
        <f t="shared" si="15"/>
        <v>30000</v>
      </c>
    </row>
    <row r="285" spans="1:7" s="435" customFormat="1" hidden="1" x14ac:dyDescent="0.3">
      <c r="A285" s="1848"/>
      <c r="B285" s="965"/>
      <c r="C285" s="1444"/>
      <c r="D285" s="1444"/>
      <c r="E285" s="1445"/>
      <c r="F285" s="829"/>
      <c r="G285" s="829">
        <f t="shared" si="15"/>
        <v>0</v>
      </c>
    </row>
    <row r="286" spans="1:7" s="435" customFormat="1" hidden="1" x14ac:dyDescent="0.3">
      <c r="A286" s="1848"/>
      <c r="B286" s="965"/>
      <c r="C286" s="1444"/>
      <c r="D286" s="1444"/>
      <c r="E286" s="1445"/>
      <c r="F286" s="829"/>
      <c r="G286" s="829">
        <f t="shared" si="15"/>
        <v>0</v>
      </c>
    </row>
    <row r="287" spans="1:7" s="435" customFormat="1" hidden="1" x14ac:dyDescent="0.3">
      <c r="A287" s="1848"/>
      <c r="B287" s="965"/>
      <c r="C287" s="1444"/>
      <c r="D287" s="1444"/>
      <c r="E287" s="1445"/>
      <c r="F287" s="829"/>
      <c r="G287" s="829">
        <f t="shared" si="15"/>
        <v>0</v>
      </c>
    </row>
    <row r="288" spans="1:7" s="435" customFormat="1" hidden="1" x14ac:dyDescent="0.3">
      <c r="A288" s="1848"/>
      <c r="B288" s="862"/>
      <c r="C288" s="1438">
        <f>SUM(D288:E288)</f>
        <v>0</v>
      </c>
      <c r="D288" s="1439"/>
      <c r="E288" s="1440"/>
      <c r="F288" s="829">
        <f t="shared" si="14"/>
        <v>0</v>
      </c>
      <c r="G288" s="829">
        <f t="shared" si="15"/>
        <v>0</v>
      </c>
    </row>
    <row r="289" spans="1:7" s="435" customFormat="1" x14ac:dyDescent="0.3">
      <c r="A289" s="1848"/>
      <c r="B289" s="862" t="s">
        <v>740</v>
      </c>
      <c r="C289" s="1438">
        <f>SUM(C253:C288)</f>
        <v>2949254</v>
      </c>
      <c r="D289" s="1438">
        <f>SUM(D253:D288)</f>
        <v>1717760</v>
      </c>
      <c r="E289" s="1438">
        <f>SUM(E253:E288)</f>
        <v>1231494</v>
      </c>
      <c r="F289" s="829">
        <f>E289+D289-C289</f>
        <v>0</v>
      </c>
      <c r="G289" s="829">
        <f t="shared" si="15"/>
        <v>5898508</v>
      </c>
    </row>
    <row r="290" spans="1:7" s="435" customFormat="1" ht="112.5" hidden="1" x14ac:dyDescent="0.3">
      <c r="A290" s="1848" t="s">
        <v>1085</v>
      </c>
      <c r="B290" s="506" t="s">
        <v>618</v>
      </c>
      <c r="C290" s="1446"/>
      <c r="D290" s="1446"/>
      <c r="E290" s="586"/>
      <c r="F290" s="829">
        <f t="shared" si="14"/>
        <v>0</v>
      </c>
      <c r="G290" s="829">
        <f t="shared" si="15"/>
        <v>0</v>
      </c>
    </row>
    <row r="291" spans="1:7" s="435" customFormat="1" ht="75" x14ac:dyDescent="0.3">
      <c r="A291" s="1848"/>
      <c r="B291" s="507" t="s">
        <v>617</v>
      </c>
      <c r="C291" s="565">
        <v>2000</v>
      </c>
      <c r="D291" s="565">
        <v>2000</v>
      </c>
      <c r="E291" s="586"/>
      <c r="F291" s="829">
        <f t="shared" si="14"/>
        <v>0</v>
      </c>
      <c r="G291" s="829">
        <f t="shared" si="15"/>
        <v>4000</v>
      </c>
    </row>
    <row r="292" spans="1:7" s="435" customFormat="1" ht="37.5" x14ac:dyDescent="0.3">
      <c r="A292" s="1848"/>
      <c r="B292" s="862" t="s">
        <v>1498</v>
      </c>
      <c r="C292" s="565">
        <v>36200</v>
      </c>
      <c r="D292" s="565">
        <v>36200</v>
      </c>
      <c r="E292" s="586"/>
      <c r="F292" s="829">
        <f t="shared" si="14"/>
        <v>0</v>
      </c>
      <c r="G292" s="829">
        <f t="shared" si="15"/>
        <v>72400</v>
      </c>
    </row>
    <row r="293" spans="1:7" s="435" customFormat="1" ht="37.5" x14ac:dyDescent="0.3">
      <c r="A293" s="1848"/>
      <c r="B293" s="862" t="s">
        <v>1498</v>
      </c>
      <c r="C293" s="565">
        <v>23800</v>
      </c>
      <c r="D293" s="565">
        <v>23800</v>
      </c>
      <c r="E293" s="586"/>
      <c r="F293" s="829">
        <f t="shared" si="14"/>
        <v>0</v>
      </c>
      <c r="G293" s="829">
        <f t="shared" si="15"/>
        <v>47600</v>
      </c>
    </row>
    <row r="294" spans="1:7" s="435" customFormat="1" ht="37.5" x14ac:dyDescent="0.3">
      <c r="A294" s="1848"/>
      <c r="B294" s="506" t="s">
        <v>1885</v>
      </c>
      <c r="C294" s="1631">
        <v>140000</v>
      </c>
      <c r="D294" s="1631">
        <v>140000</v>
      </c>
      <c r="E294" s="1631"/>
      <c r="F294" s="829">
        <f t="shared" si="14"/>
        <v>0</v>
      </c>
      <c r="G294" s="829">
        <f t="shared" si="15"/>
        <v>280000</v>
      </c>
    </row>
    <row r="295" spans="1:7" s="435" customFormat="1" ht="56.25" x14ac:dyDescent="0.3">
      <c r="A295" s="1848"/>
      <c r="B295" s="506" t="s">
        <v>1613</v>
      </c>
      <c r="C295" s="565">
        <v>100000</v>
      </c>
      <c r="D295" s="565"/>
      <c r="E295" s="565">
        <v>100000</v>
      </c>
      <c r="F295" s="829">
        <f t="shared" si="14"/>
        <v>0</v>
      </c>
      <c r="G295" s="829">
        <f t="shared" si="15"/>
        <v>200000</v>
      </c>
    </row>
    <row r="296" spans="1:7" s="435" customFormat="1" ht="37.5" x14ac:dyDescent="0.3">
      <c r="A296" s="1848"/>
      <c r="B296" s="1628" t="s">
        <v>2121</v>
      </c>
      <c r="C296" s="1631">
        <v>25000</v>
      </c>
      <c r="D296" s="1631"/>
      <c r="E296" s="1625">
        <v>25000</v>
      </c>
      <c r="F296" s="829">
        <f t="shared" si="14"/>
        <v>0</v>
      </c>
      <c r="G296" s="829">
        <f t="shared" si="15"/>
        <v>50000</v>
      </c>
    </row>
    <row r="297" spans="1:7" s="435" customFormat="1" ht="37.5" x14ac:dyDescent="0.3">
      <c r="A297" s="1848"/>
      <c r="B297" s="1628" t="s">
        <v>2122</v>
      </c>
      <c r="C297" s="1631">
        <v>49990</v>
      </c>
      <c r="D297" s="1631"/>
      <c r="E297" s="1625">
        <v>49990</v>
      </c>
      <c r="F297" s="829">
        <f t="shared" si="14"/>
        <v>0</v>
      </c>
      <c r="G297" s="829">
        <f t="shared" si="15"/>
        <v>99980</v>
      </c>
    </row>
    <row r="298" spans="1:7" s="435" customFormat="1" ht="37.5" x14ac:dyDescent="0.3">
      <c r="A298" s="1848"/>
      <c r="B298" s="1628" t="s">
        <v>2123</v>
      </c>
      <c r="C298" s="1631">
        <v>49990</v>
      </c>
      <c r="D298" s="1631"/>
      <c r="E298" s="1625">
        <v>49990</v>
      </c>
      <c r="F298" s="829">
        <f t="shared" si="14"/>
        <v>0</v>
      </c>
      <c r="G298" s="829">
        <f t="shared" si="15"/>
        <v>99980</v>
      </c>
    </row>
    <row r="299" spans="1:7" s="435" customFormat="1" hidden="1" x14ac:dyDescent="0.3">
      <c r="A299" s="1848"/>
      <c r="B299" s="862"/>
      <c r="C299" s="1438">
        <f>SUM(D299:E299)</f>
        <v>0</v>
      </c>
      <c r="D299" s="1439"/>
      <c r="E299" s="1440"/>
      <c r="F299" s="829">
        <f t="shared" si="14"/>
        <v>0</v>
      </c>
      <c r="G299" s="829">
        <f t="shared" si="15"/>
        <v>0</v>
      </c>
    </row>
    <row r="300" spans="1:7" s="435" customFormat="1" x14ac:dyDescent="0.3">
      <c r="A300" s="1848"/>
      <c r="B300" s="862" t="s">
        <v>740</v>
      </c>
      <c r="C300" s="1438">
        <f>SUM(C290:C299)</f>
        <v>426980</v>
      </c>
      <c r="D300" s="1438">
        <f>SUM(D290:D299)</f>
        <v>202000</v>
      </c>
      <c r="E300" s="1438">
        <f>SUM(E290:E299)</f>
        <v>224980</v>
      </c>
      <c r="F300" s="829">
        <f t="shared" si="14"/>
        <v>0</v>
      </c>
      <c r="G300" s="829">
        <f t="shared" si="15"/>
        <v>853960</v>
      </c>
    </row>
    <row r="301" spans="1:7" s="435" customFormat="1" ht="75" x14ac:dyDescent="0.3">
      <c r="A301" s="1848" t="s">
        <v>1086</v>
      </c>
      <c r="B301" s="507" t="s">
        <v>617</v>
      </c>
      <c r="C301" s="586">
        <v>11800</v>
      </c>
      <c r="D301" s="586">
        <v>11800</v>
      </c>
      <c r="E301" s="586"/>
      <c r="F301" s="829">
        <f t="shared" si="14"/>
        <v>0</v>
      </c>
      <c r="G301" s="829">
        <f t="shared" si="15"/>
        <v>23600</v>
      </c>
    </row>
    <row r="302" spans="1:7" s="435" customFormat="1" ht="37.5" x14ac:dyDescent="0.3">
      <c r="A302" s="1848"/>
      <c r="B302" s="1121" t="s">
        <v>1309</v>
      </c>
      <c r="C302" s="1467">
        <v>500000</v>
      </c>
      <c r="D302" s="1440"/>
      <c r="E302" s="1440">
        <v>500000</v>
      </c>
      <c r="F302" s="829">
        <f t="shared" si="14"/>
        <v>0</v>
      </c>
      <c r="G302" s="829">
        <f t="shared" si="15"/>
        <v>1000000</v>
      </c>
    </row>
    <row r="303" spans="1:7" s="435" customFormat="1" ht="37.5" x14ac:dyDescent="0.3">
      <c r="A303" s="1848"/>
      <c r="B303" s="1118" t="s">
        <v>1242</v>
      </c>
      <c r="C303" s="1439">
        <v>40000</v>
      </c>
      <c r="D303" s="1439"/>
      <c r="E303" s="1439">
        <v>40000</v>
      </c>
      <c r="F303" s="829">
        <f>E303+D303-C303</f>
        <v>0</v>
      </c>
      <c r="G303" s="829">
        <f t="shared" si="15"/>
        <v>80000</v>
      </c>
    </row>
    <row r="304" spans="1:7" s="435" customFormat="1" ht="75" x14ac:dyDescent="0.3">
      <c r="A304" s="1848"/>
      <c r="B304" s="506" t="s">
        <v>1499</v>
      </c>
      <c r="C304" s="586">
        <v>5000</v>
      </c>
      <c r="D304" s="586">
        <v>5000</v>
      </c>
      <c r="E304" s="586"/>
      <c r="F304" s="829">
        <f>E304+D304-C304</f>
        <v>0</v>
      </c>
      <c r="G304" s="829">
        <f t="shared" si="15"/>
        <v>10000</v>
      </c>
    </row>
    <row r="305" spans="1:7" s="435" customFormat="1" ht="37.5" x14ac:dyDescent="0.3">
      <c r="A305" s="1848"/>
      <c r="B305" s="862" t="s">
        <v>1614</v>
      </c>
      <c r="C305" s="1457">
        <v>300000</v>
      </c>
      <c r="D305" s="1457"/>
      <c r="E305" s="1457">
        <v>300000</v>
      </c>
      <c r="F305" s="829">
        <f>E305+D305-C305</f>
        <v>0</v>
      </c>
      <c r="G305" s="829">
        <f t="shared" si="15"/>
        <v>600000</v>
      </c>
    </row>
    <row r="306" spans="1:7" s="435" customFormat="1" ht="56.25" x14ac:dyDescent="0.3">
      <c r="A306" s="1848"/>
      <c r="B306" s="862" t="s">
        <v>1615</v>
      </c>
      <c r="C306" s="1457">
        <v>100000</v>
      </c>
      <c r="D306" s="1457"/>
      <c r="E306" s="1457">
        <v>100000</v>
      </c>
      <c r="F306" s="829">
        <f>E306+D306-C306</f>
        <v>0</v>
      </c>
      <c r="G306" s="829">
        <f t="shared" si="15"/>
        <v>200000</v>
      </c>
    </row>
    <row r="307" spans="1:7" s="435" customFormat="1" ht="37.5" x14ac:dyDescent="0.3">
      <c r="A307" s="1848"/>
      <c r="B307" s="506" t="s">
        <v>1974</v>
      </c>
      <c r="C307" s="565">
        <v>35000</v>
      </c>
      <c r="D307" s="565"/>
      <c r="E307" s="586">
        <v>35000</v>
      </c>
      <c r="F307" s="829">
        <f t="shared" ref="F307:F358" si="16">E307+D307-C307</f>
        <v>0</v>
      </c>
      <c r="G307" s="829">
        <f t="shared" si="15"/>
        <v>70000</v>
      </c>
    </row>
    <row r="308" spans="1:7" s="435" customFormat="1" ht="37.5" x14ac:dyDescent="0.3">
      <c r="A308" s="1848"/>
      <c r="B308" s="506" t="s">
        <v>2078</v>
      </c>
      <c r="C308" s="565">
        <v>15000</v>
      </c>
      <c r="D308" s="565">
        <v>15000</v>
      </c>
      <c r="E308" s="586"/>
      <c r="F308" s="829">
        <f t="shared" si="16"/>
        <v>0</v>
      </c>
      <c r="G308" s="829">
        <f t="shared" si="15"/>
        <v>30000</v>
      </c>
    </row>
    <row r="309" spans="1:7" s="435" customFormat="1" ht="56.25" x14ac:dyDescent="0.3">
      <c r="A309" s="1848"/>
      <c r="B309" s="862" t="s">
        <v>2016</v>
      </c>
      <c r="C309" s="1627">
        <v>50000</v>
      </c>
      <c r="D309" s="1627">
        <v>7210</v>
      </c>
      <c r="E309" s="1627">
        <v>42790</v>
      </c>
      <c r="F309" s="829">
        <f t="shared" si="16"/>
        <v>0</v>
      </c>
      <c r="G309" s="829">
        <f t="shared" si="15"/>
        <v>100000</v>
      </c>
    </row>
    <row r="310" spans="1:7" s="435" customFormat="1" hidden="1" x14ac:dyDescent="0.3">
      <c r="A310" s="1848"/>
      <c r="B310" s="862"/>
      <c r="C310" s="1438">
        <f>SUM(D310:E310)</f>
        <v>0</v>
      </c>
      <c r="D310" s="1439"/>
      <c r="E310" s="1440"/>
      <c r="F310" s="829">
        <f t="shared" si="16"/>
        <v>0</v>
      </c>
      <c r="G310" s="829">
        <f t="shared" si="15"/>
        <v>0</v>
      </c>
    </row>
    <row r="311" spans="1:7" s="435" customFormat="1" x14ac:dyDescent="0.3">
      <c r="A311" s="1848"/>
      <c r="B311" s="862" t="s">
        <v>740</v>
      </c>
      <c r="C311" s="1438">
        <f>SUM(C301:C310)</f>
        <v>1056800</v>
      </c>
      <c r="D311" s="1438">
        <f>SUM(D301:D310)</f>
        <v>39010</v>
      </c>
      <c r="E311" s="1438">
        <f>SUM(E301:E310)</f>
        <v>1017790</v>
      </c>
      <c r="F311" s="829">
        <f>E311+D311-C311</f>
        <v>0</v>
      </c>
      <c r="G311" s="829">
        <f t="shared" si="15"/>
        <v>2113600</v>
      </c>
    </row>
    <row r="312" spans="1:7" s="435" customFormat="1" ht="112.5" hidden="1" x14ac:dyDescent="0.3">
      <c r="A312" s="1848" t="s">
        <v>1087</v>
      </c>
      <c r="B312" s="506" t="s">
        <v>618</v>
      </c>
      <c r="C312" s="1446"/>
      <c r="D312" s="1446"/>
      <c r="E312" s="586"/>
      <c r="F312" s="829">
        <f t="shared" si="16"/>
        <v>0</v>
      </c>
      <c r="G312" s="829">
        <f t="shared" si="15"/>
        <v>0</v>
      </c>
    </row>
    <row r="313" spans="1:7" s="435" customFormat="1" ht="75" x14ac:dyDescent="0.3">
      <c r="A313" s="1848"/>
      <c r="B313" s="507" t="s">
        <v>617</v>
      </c>
      <c r="C313" s="565">
        <v>10200</v>
      </c>
      <c r="D313" s="565">
        <v>10200</v>
      </c>
      <c r="E313" s="586"/>
      <c r="F313" s="829">
        <f t="shared" si="16"/>
        <v>0</v>
      </c>
      <c r="G313" s="829">
        <f t="shared" si="15"/>
        <v>20400</v>
      </c>
    </row>
    <row r="314" spans="1:7" s="435" customFormat="1" ht="75" x14ac:dyDescent="0.3">
      <c r="A314" s="1848"/>
      <c r="B314" s="506" t="s">
        <v>1819</v>
      </c>
      <c r="C314" s="565">
        <v>398000</v>
      </c>
      <c r="D314" s="1464"/>
      <c r="E314" s="586">
        <v>398000</v>
      </c>
      <c r="F314" s="829">
        <f t="shared" si="16"/>
        <v>0</v>
      </c>
      <c r="G314" s="829">
        <f t="shared" si="15"/>
        <v>796000</v>
      </c>
    </row>
    <row r="315" spans="1:7" s="435" customFormat="1" ht="168.75" x14ac:dyDescent="0.3">
      <c r="A315" s="1848"/>
      <c r="B315" s="506" t="s">
        <v>1567</v>
      </c>
      <c r="C315" s="565">
        <v>102000</v>
      </c>
      <c r="D315" s="1464"/>
      <c r="E315" s="586">
        <v>102000</v>
      </c>
      <c r="F315" s="829">
        <f t="shared" si="16"/>
        <v>0</v>
      </c>
      <c r="G315" s="829">
        <f t="shared" si="15"/>
        <v>204000</v>
      </c>
    </row>
    <row r="316" spans="1:7" s="435" customFormat="1" ht="75" x14ac:dyDescent="0.3">
      <c r="A316" s="1848"/>
      <c r="B316" s="1118" t="s">
        <v>1343</v>
      </c>
      <c r="C316" s="1439">
        <v>30000</v>
      </c>
      <c r="D316" s="1439"/>
      <c r="E316" s="1439">
        <v>30000</v>
      </c>
      <c r="F316" s="829">
        <f t="shared" si="16"/>
        <v>0</v>
      </c>
      <c r="G316" s="829">
        <f t="shared" si="15"/>
        <v>60000</v>
      </c>
    </row>
    <row r="317" spans="1:7" s="435" customFormat="1" ht="75" x14ac:dyDescent="0.3">
      <c r="A317" s="1848"/>
      <c r="B317" s="1121" t="s">
        <v>1343</v>
      </c>
      <c r="C317" s="1626">
        <v>10000</v>
      </c>
      <c r="D317" s="1635"/>
      <c r="E317" s="1439">
        <v>10000</v>
      </c>
      <c r="F317" s="829">
        <f t="shared" si="16"/>
        <v>0</v>
      </c>
      <c r="G317" s="829">
        <f t="shared" si="15"/>
        <v>20000</v>
      </c>
    </row>
    <row r="318" spans="1:7" s="435" customFormat="1" ht="56.25" x14ac:dyDescent="0.3">
      <c r="A318" s="1848"/>
      <c r="B318" s="1121" t="s">
        <v>1344</v>
      </c>
      <c r="C318" s="1634">
        <v>200000</v>
      </c>
      <c r="D318" s="1622">
        <v>200000</v>
      </c>
      <c r="E318" s="1440"/>
      <c r="F318" s="829">
        <f t="shared" si="16"/>
        <v>0</v>
      </c>
      <c r="G318" s="829">
        <f t="shared" si="15"/>
        <v>400000</v>
      </c>
    </row>
    <row r="319" spans="1:7" s="435" customFormat="1" ht="37.5" x14ac:dyDescent="0.3">
      <c r="A319" s="1848"/>
      <c r="B319" s="1121" t="s">
        <v>1345</v>
      </c>
      <c r="C319" s="1634">
        <v>230000</v>
      </c>
      <c r="D319" s="1622"/>
      <c r="E319" s="1440">
        <v>230000</v>
      </c>
      <c r="F319" s="829">
        <f t="shared" si="16"/>
        <v>0</v>
      </c>
      <c r="G319" s="829">
        <f t="shared" si="15"/>
        <v>460000</v>
      </c>
    </row>
    <row r="320" spans="1:7" s="435" customFormat="1" ht="75" x14ac:dyDescent="0.3">
      <c r="A320" s="1848"/>
      <c r="B320" s="1121" t="s">
        <v>1346</v>
      </c>
      <c r="C320" s="1634">
        <v>70000</v>
      </c>
      <c r="D320" s="1622"/>
      <c r="E320" s="1440">
        <v>70000</v>
      </c>
      <c r="F320" s="829">
        <f t="shared" si="16"/>
        <v>0</v>
      </c>
      <c r="G320" s="829">
        <f t="shared" si="15"/>
        <v>140000</v>
      </c>
    </row>
    <row r="321" spans="1:7" s="435" customFormat="1" ht="150" x14ac:dyDescent="0.3">
      <c r="A321" s="1848"/>
      <c r="B321" s="506" t="s">
        <v>1616</v>
      </c>
      <c r="C321" s="1438">
        <f>SUM(D321:E321)</f>
        <v>65000</v>
      </c>
      <c r="D321" s="565"/>
      <c r="E321" s="565">
        <v>65000</v>
      </c>
      <c r="F321" s="829">
        <f t="shared" si="16"/>
        <v>0</v>
      </c>
      <c r="G321" s="829">
        <f t="shared" si="15"/>
        <v>130000</v>
      </c>
    </row>
    <row r="322" spans="1:7" s="435" customFormat="1" ht="37.5" x14ac:dyDescent="0.3">
      <c r="A322" s="1848"/>
      <c r="B322" s="506" t="s">
        <v>1617</v>
      </c>
      <c r="C322" s="1438">
        <f>SUM(D322:E322)</f>
        <v>40000</v>
      </c>
      <c r="D322" s="565">
        <v>40000</v>
      </c>
      <c r="E322" s="565"/>
      <c r="F322" s="829">
        <f t="shared" si="16"/>
        <v>0</v>
      </c>
      <c r="G322" s="829">
        <f t="shared" si="15"/>
        <v>80000</v>
      </c>
    </row>
    <row r="323" spans="1:7" s="435" customFormat="1" ht="150" x14ac:dyDescent="0.3">
      <c r="A323" s="1848"/>
      <c r="B323" s="506" t="s">
        <v>1618</v>
      </c>
      <c r="C323" s="1438">
        <f>SUM(D323:E323)</f>
        <v>70000</v>
      </c>
      <c r="D323" s="565"/>
      <c r="E323" s="565">
        <v>70000</v>
      </c>
      <c r="F323" s="829">
        <f t="shared" si="16"/>
        <v>0</v>
      </c>
      <c r="G323" s="829">
        <f t="shared" si="15"/>
        <v>140000</v>
      </c>
    </row>
    <row r="324" spans="1:7" s="435" customFormat="1" ht="93.75" x14ac:dyDescent="0.3">
      <c r="A324" s="1848"/>
      <c r="B324" s="506" t="s">
        <v>1619</v>
      </c>
      <c r="C324" s="1457">
        <v>15000</v>
      </c>
      <c r="D324" s="1457">
        <v>15000</v>
      </c>
      <c r="E324" s="1457"/>
      <c r="F324" s="829">
        <f t="shared" si="16"/>
        <v>0</v>
      </c>
      <c r="G324" s="829">
        <f t="shared" si="15"/>
        <v>30000</v>
      </c>
    </row>
    <row r="325" spans="1:7" s="435" customFormat="1" ht="56.25" x14ac:dyDescent="0.3">
      <c r="A325" s="1848"/>
      <c r="B325" s="1612" t="s">
        <v>2124</v>
      </c>
      <c r="C325" s="1625">
        <v>10000</v>
      </c>
      <c r="D325" s="1625"/>
      <c r="E325" s="1625">
        <v>10000</v>
      </c>
      <c r="F325" s="829"/>
      <c r="G325" s="829">
        <f t="shared" si="15"/>
        <v>20000</v>
      </c>
    </row>
    <row r="326" spans="1:7" s="435" customFormat="1" ht="75" x14ac:dyDescent="0.3">
      <c r="A326" s="1848"/>
      <c r="B326" s="1612" t="s">
        <v>2125</v>
      </c>
      <c r="C326" s="1625">
        <v>10000</v>
      </c>
      <c r="D326" s="1625"/>
      <c r="E326" s="1625">
        <v>10000</v>
      </c>
      <c r="F326" s="829"/>
      <c r="G326" s="829">
        <f t="shared" si="15"/>
        <v>20000</v>
      </c>
    </row>
    <row r="327" spans="1:7" s="435" customFormat="1" ht="56.25" x14ac:dyDescent="0.3">
      <c r="A327" s="1848"/>
      <c r="B327" s="1623" t="s">
        <v>2126</v>
      </c>
      <c r="C327" s="1625">
        <v>48000</v>
      </c>
      <c r="D327" s="1625">
        <v>48000</v>
      </c>
      <c r="E327" s="1625"/>
      <c r="F327" s="829"/>
      <c r="G327" s="829">
        <f t="shared" si="15"/>
        <v>96000</v>
      </c>
    </row>
    <row r="328" spans="1:7" s="435" customFormat="1" ht="75" x14ac:dyDescent="0.3">
      <c r="A328" s="1848"/>
      <c r="B328" s="1623" t="s">
        <v>2127</v>
      </c>
      <c r="C328" s="1625">
        <v>12000</v>
      </c>
      <c r="D328" s="1625">
        <v>12000</v>
      </c>
      <c r="E328" s="1625"/>
      <c r="F328" s="829">
        <f t="shared" si="16"/>
        <v>0</v>
      </c>
      <c r="G328" s="829">
        <f t="shared" si="15"/>
        <v>24000</v>
      </c>
    </row>
    <row r="329" spans="1:7" s="435" customFormat="1" hidden="1" x14ac:dyDescent="0.3">
      <c r="A329" s="1848"/>
      <c r="B329" s="862"/>
      <c r="C329" s="1438">
        <f>SUM(D329:E329)</f>
        <v>0</v>
      </c>
      <c r="D329" s="1439"/>
      <c r="E329" s="1440"/>
      <c r="F329" s="829">
        <f t="shared" si="16"/>
        <v>0</v>
      </c>
      <c r="G329" s="829">
        <f t="shared" ref="G329:G392" si="17">SUM(C329:E329)</f>
        <v>0</v>
      </c>
    </row>
    <row r="330" spans="1:7" s="435" customFormat="1" hidden="1" x14ac:dyDescent="0.3">
      <c r="A330" s="1848"/>
      <c r="B330" s="862"/>
      <c r="C330" s="1438">
        <f>SUM(D330:E330)</f>
        <v>0</v>
      </c>
      <c r="D330" s="1439"/>
      <c r="E330" s="1440"/>
      <c r="F330" s="829">
        <f t="shared" si="16"/>
        <v>0</v>
      </c>
      <c r="G330" s="829">
        <f t="shared" si="17"/>
        <v>0</v>
      </c>
    </row>
    <row r="331" spans="1:7" s="435" customFormat="1" x14ac:dyDescent="0.3">
      <c r="A331" s="1848"/>
      <c r="B331" s="862" t="s">
        <v>740</v>
      </c>
      <c r="C331" s="1438">
        <f>SUM(C312:C330)</f>
        <v>1320200</v>
      </c>
      <c r="D331" s="1438">
        <f>SUM(D312:D330)</f>
        <v>325200</v>
      </c>
      <c r="E331" s="1438">
        <f>SUM(E312:E330)</f>
        <v>995000</v>
      </c>
      <c r="F331" s="829">
        <f t="shared" si="16"/>
        <v>0</v>
      </c>
      <c r="G331" s="829">
        <f t="shared" si="17"/>
        <v>2640400</v>
      </c>
    </row>
    <row r="332" spans="1:7" s="435" customFormat="1" ht="75" x14ac:dyDescent="0.3">
      <c r="A332" s="1848" t="s">
        <v>1088</v>
      </c>
      <c r="B332" s="507" t="s">
        <v>617</v>
      </c>
      <c r="C332" s="565">
        <v>19200</v>
      </c>
      <c r="D332" s="565">
        <v>19200</v>
      </c>
      <c r="E332" s="586"/>
      <c r="F332" s="829">
        <f t="shared" si="16"/>
        <v>0</v>
      </c>
      <c r="G332" s="829">
        <f t="shared" si="17"/>
        <v>38400</v>
      </c>
    </row>
    <row r="333" spans="1:7" s="435" customFormat="1" ht="56.25" x14ac:dyDescent="0.3">
      <c r="A333" s="1848"/>
      <c r="B333" s="1121" t="s">
        <v>1357</v>
      </c>
      <c r="C333" s="1626">
        <v>40000</v>
      </c>
      <c r="D333" s="1635">
        <v>40000</v>
      </c>
      <c r="E333" s="1439"/>
      <c r="F333" s="829">
        <f t="shared" si="16"/>
        <v>0</v>
      </c>
      <c r="G333" s="829">
        <f t="shared" si="17"/>
        <v>80000</v>
      </c>
    </row>
    <row r="334" spans="1:7" s="435" customFormat="1" ht="112.5" x14ac:dyDescent="0.3">
      <c r="A334" s="1848"/>
      <c r="B334" s="862" t="s">
        <v>1534</v>
      </c>
      <c r="C334" s="1438">
        <f>SUM(D334:E334)</f>
        <v>11130</v>
      </c>
      <c r="D334" s="1438">
        <v>11130</v>
      </c>
      <c r="E334" s="1440"/>
      <c r="F334" s="829">
        <f t="shared" si="16"/>
        <v>0</v>
      </c>
      <c r="G334" s="829">
        <f t="shared" si="17"/>
        <v>22260</v>
      </c>
    </row>
    <row r="335" spans="1:7" s="435" customFormat="1" ht="131.25" x14ac:dyDescent="0.3">
      <c r="A335" s="1848"/>
      <c r="B335" s="506" t="s">
        <v>1620</v>
      </c>
      <c r="C335" s="1438">
        <f>SUM(D335:E335)</f>
        <v>100000</v>
      </c>
      <c r="D335" s="1438"/>
      <c r="E335" s="892">
        <v>100000</v>
      </c>
      <c r="F335" s="829">
        <f t="shared" si="16"/>
        <v>0</v>
      </c>
      <c r="G335" s="829">
        <f t="shared" si="17"/>
        <v>200000</v>
      </c>
    </row>
    <row r="336" spans="1:7" s="435" customFormat="1" hidden="1" x14ac:dyDescent="0.3">
      <c r="A336" s="1848"/>
      <c r="B336" s="862"/>
      <c r="C336" s="1438">
        <f t="shared" ref="C336:C341" si="18">SUM(D336:E336)</f>
        <v>0</v>
      </c>
      <c r="D336" s="1439"/>
      <c r="E336" s="1440"/>
      <c r="F336" s="829">
        <f t="shared" si="16"/>
        <v>0</v>
      </c>
      <c r="G336" s="829">
        <f t="shared" si="17"/>
        <v>0</v>
      </c>
    </row>
    <row r="337" spans="1:7" s="435" customFormat="1" hidden="1" x14ac:dyDescent="0.3">
      <c r="A337" s="1848"/>
      <c r="B337" s="862"/>
      <c r="C337" s="1438">
        <f t="shared" si="18"/>
        <v>0</v>
      </c>
      <c r="D337" s="1439"/>
      <c r="E337" s="1440"/>
      <c r="F337" s="829">
        <f t="shared" si="16"/>
        <v>0</v>
      </c>
      <c r="G337" s="829">
        <f t="shared" si="17"/>
        <v>0</v>
      </c>
    </row>
    <row r="338" spans="1:7" s="435" customFormat="1" hidden="1" x14ac:dyDescent="0.3">
      <c r="A338" s="1848"/>
      <c r="B338" s="862"/>
      <c r="C338" s="1438">
        <f t="shared" si="18"/>
        <v>0</v>
      </c>
      <c r="D338" s="1439"/>
      <c r="E338" s="1440"/>
      <c r="F338" s="829">
        <f t="shared" si="16"/>
        <v>0</v>
      </c>
      <c r="G338" s="829">
        <f t="shared" si="17"/>
        <v>0</v>
      </c>
    </row>
    <row r="339" spans="1:7" s="435" customFormat="1" hidden="1" x14ac:dyDescent="0.3">
      <c r="A339" s="1848"/>
      <c r="B339" s="862"/>
      <c r="C339" s="1438">
        <f t="shared" si="18"/>
        <v>0</v>
      </c>
      <c r="D339" s="1439"/>
      <c r="E339" s="1440"/>
      <c r="F339" s="829">
        <f t="shared" si="16"/>
        <v>0</v>
      </c>
      <c r="G339" s="829">
        <f t="shared" si="17"/>
        <v>0</v>
      </c>
    </row>
    <row r="340" spans="1:7" s="435" customFormat="1" hidden="1" x14ac:dyDescent="0.3">
      <c r="A340" s="1848"/>
      <c r="B340" s="862"/>
      <c r="C340" s="1438">
        <f t="shared" si="18"/>
        <v>0</v>
      </c>
      <c r="D340" s="1439"/>
      <c r="E340" s="1440"/>
      <c r="F340" s="829">
        <f t="shared" si="16"/>
        <v>0</v>
      </c>
      <c r="G340" s="829">
        <f t="shared" si="17"/>
        <v>0</v>
      </c>
    </row>
    <row r="341" spans="1:7" s="435" customFormat="1" hidden="1" x14ac:dyDescent="0.3">
      <c r="A341" s="1848"/>
      <c r="B341" s="862"/>
      <c r="C341" s="1438">
        <f t="shared" si="18"/>
        <v>0</v>
      </c>
      <c r="D341" s="1439"/>
      <c r="E341" s="1440"/>
      <c r="F341" s="829">
        <f t="shared" si="16"/>
        <v>0</v>
      </c>
      <c r="G341" s="829">
        <f t="shared" si="17"/>
        <v>0</v>
      </c>
    </row>
    <row r="342" spans="1:7" s="435" customFormat="1" x14ac:dyDescent="0.3">
      <c r="A342" s="1848"/>
      <c r="B342" s="862" t="s">
        <v>740</v>
      </c>
      <c r="C342" s="1438">
        <f>SUM(C332:C341)</f>
        <v>170330</v>
      </c>
      <c r="D342" s="1438">
        <f>SUM(D332:D341)</f>
        <v>70330</v>
      </c>
      <c r="E342" s="1438">
        <f>SUM(E332:E341)</f>
        <v>100000</v>
      </c>
      <c r="F342" s="829">
        <f t="shared" si="16"/>
        <v>0</v>
      </c>
      <c r="G342" s="829">
        <f t="shared" si="17"/>
        <v>340660</v>
      </c>
    </row>
    <row r="343" spans="1:7" s="435" customFormat="1" ht="75" x14ac:dyDescent="0.3">
      <c r="A343" s="1848" t="s">
        <v>1089</v>
      </c>
      <c r="B343" s="507" t="s">
        <v>617</v>
      </c>
      <c r="C343" s="565">
        <v>2000</v>
      </c>
      <c r="D343" s="565">
        <v>2000</v>
      </c>
      <c r="E343" s="586"/>
      <c r="F343" s="829">
        <f t="shared" si="16"/>
        <v>0</v>
      </c>
      <c r="G343" s="829">
        <f t="shared" si="17"/>
        <v>4000</v>
      </c>
    </row>
    <row r="344" spans="1:7" s="435" customFormat="1" ht="56.25" x14ac:dyDescent="0.3">
      <c r="A344" s="1848"/>
      <c r="B344" s="862" t="s">
        <v>1621</v>
      </c>
      <c r="C344" s="1457">
        <v>63800</v>
      </c>
      <c r="D344" s="1457"/>
      <c r="E344" s="1457">
        <v>63800</v>
      </c>
      <c r="F344" s="829">
        <f t="shared" si="16"/>
        <v>0</v>
      </c>
      <c r="G344" s="829">
        <f t="shared" si="17"/>
        <v>127600</v>
      </c>
    </row>
    <row r="345" spans="1:7" s="435" customFormat="1" hidden="1" x14ac:dyDescent="0.3">
      <c r="A345" s="1848"/>
      <c r="B345" s="862"/>
      <c r="C345" s="1438">
        <f t="shared" ref="C345:C352" si="19">SUM(D345:E345)</f>
        <v>0</v>
      </c>
      <c r="D345" s="1439"/>
      <c r="E345" s="1440"/>
      <c r="F345" s="829">
        <f t="shared" si="16"/>
        <v>0</v>
      </c>
      <c r="G345" s="829">
        <f t="shared" si="17"/>
        <v>0</v>
      </c>
    </row>
    <row r="346" spans="1:7" s="435" customFormat="1" hidden="1" x14ac:dyDescent="0.3">
      <c r="A346" s="1848"/>
      <c r="B346" s="862"/>
      <c r="C346" s="1438">
        <f t="shared" si="19"/>
        <v>0</v>
      </c>
      <c r="D346" s="1439"/>
      <c r="E346" s="1440"/>
      <c r="F346" s="829">
        <f t="shared" si="16"/>
        <v>0</v>
      </c>
      <c r="G346" s="829">
        <f t="shared" si="17"/>
        <v>0</v>
      </c>
    </row>
    <row r="347" spans="1:7" s="435" customFormat="1" hidden="1" x14ac:dyDescent="0.3">
      <c r="A347" s="1848"/>
      <c r="B347" s="862"/>
      <c r="C347" s="1438">
        <f t="shared" si="19"/>
        <v>0</v>
      </c>
      <c r="D347" s="1439"/>
      <c r="E347" s="1440"/>
      <c r="F347" s="829">
        <f t="shared" si="16"/>
        <v>0</v>
      </c>
      <c r="G347" s="829">
        <f t="shared" si="17"/>
        <v>0</v>
      </c>
    </row>
    <row r="348" spans="1:7" s="435" customFormat="1" hidden="1" x14ac:dyDescent="0.3">
      <c r="A348" s="1848"/>
      <c r="B348" s="862"/>
      <c r="C348" s="1438">
        <f t="shared" si="19"/>
        <v>0</v>
      </c>
      <c r="D348" s="1439"/>
      <c r="E348" s="1440"/>
      <c r="F348" s="829">
        <f t="shared" si="16"/>
        <v>0</v>
      </c>
      <c r="G348" s="829">
        <f t="shared" si="17"/>
        <v>0</v>
      </c>
    </row>
    <row r="349" spans="1:7" s="435" customFormat="1" hidden="1" x14ac:dyDescent="0.3">
      <c r="A349" s="1848"/>
      <c r="B349" s="862"/>
      <c r="C349" s="1438">
        <f t="shared" si="19"/>
        <v>0</v>
      </c>
      <c r="D349" s="1439"/>
      <c r="E349" s="1440"/>
      <c r="F349" s="829">
        <f t="shared" si="16"/>
        <v>0</v>
      </c>
      <c r="G349" s="829">
        <f t="shared" si="17"/>
        <v>0</v>
      </c>
    </row>
    <row r="350" spans="1:7" s="435" customFormat="1" hidden="1" x14ac:dyDescent="0.3">
      <c r="A350" s="1848"/>
      <c r="B350" s="862"/>
      <c r="C350" s="1438">
        <f t="shared" si="19"/>
        <v>0</v>
      </c>
      <c r="D350" s="1439"/>
      <c r="E350" s="1440"/>
      <c r="F350" s="829">
        <f t="shared" si="16"/>
        <v>0</v>
      </c>
      <c r="G350" s="829">
        <f t="shared" si="17"/>
        <v>0</v>
      </c>
    </row>
    <row r="351" spans="1:7" s="435" customFormat="1" hidden="1" x14ac:dyDescent="0.3">
      <c r="A351" s="1848"/>
      <c r="B351" s="862"/>
      <c r="C351" s="1438">
        <f t="shared" si="19"/>
        <v>0</v>
      </c>
      <c r="D351" s="1439"/>
      <c r="E351" s="1440"/>
      <c r="F351" s="829">
        <f t="shared" si="16"/>
        <v>0</v>
      </c>
      <c r="G351" s="829">
        <f t="shared" si="17"/>
        <v>0</v>
      </c>
    </row>
    <row r="352" spans="1:7" s="435" customFormat="1" hidden="1" x14ac:dyDescent="0.3">
      <c r="A352" s="1848"/>
      <c r="B352" s="862"/>
      <c r="C352" s="1438">
        <f t="shared" si="19"/>
        <v>0</v>
      </c>
      <c r="D352" s="1439"/>
      <c r="E352" s="1440"/>
      <c r="F352" s="829">
        <f t="shared" si="16"/>
        <v>0</v>
      </c>
      <c r="G352" s="829">
        <f t="shared" si="17"/>
        <v>0</v>
      </c>
    </row>
    <row r="353" spans="1:7" ht="34.15" customHeight="1" x14ac:dyDescent="0.3">
      <c r="A353" s="1848"/>
      <c r="B353" s="862" t="s">
        <v>740</v>
      </c>
      <c r="C353" s="1438">
        <f>SUM(C343:C352)</f>
        <v>65800</v>
      </c>
      <c r="D353" s="1438">
        <f>SUM(D343:D352)</f>
        <v>2000</v>
      </c>
      <c r="E353" s="1438">
        <f>SUM(E343:E352)</f>
        <v>63800</v>
      </c>
      <c r="F353" s="829">
        <f t="shared" si="16"/>
        <v>0</v>
      </c>
      <c r="G353" s="829">
        <f t="shared" si="17"/>
        <v>131600</v>
      </c>
    </row>
    <row r="354" spans="1:7" ht="75" x14ac:dyDescent="0.3">
      <c r="A354" s="1848" t="s">
        <v>1090</v>
      </c>
      <c r="B354" s="507" t="s">
        <v>617</v>
      </c>
      <c r="C354" s="565">
        <v>109000</v>
      </c>
      <c r="D354" s="565">
        <v>109000</v>
      </c>
      <c r="E354" s="586"/>
      <c r="F354" s="829">
        <f t="shared" si="16"/>
        <v>0</v>
      </c>
      <c r="G354" s="829">
        <f t="shared" si="17"/>
        <v>218000</v>
      </c>
    </row>
    <row r="355" spans="1:7" ht="56.25" x14ac:dyDescent="0.3">
      <c r="A355" s="1848"/>
      <c r="B355" s="1118" t="s">
        <v>1225</v>
      </c>
      <c r="C355" s="1439">
        <v>25000</v>
      </c>
      <c r="D355" s="1439"/>
      <c r="E355" s="1439">
        <v>25000</v>
      </c>
      <c r="F355" s="829">
        <f t="shared" si="16"/>
        <v>0</v>
      </c>
      <c r="G355" s="829">
        <f t="shared" si="17"/>
        <v>50000</v>
      </c>
    </row>
    <row r="356" spans="1:7" ht="75" x14ac:dyDescent="0.3">
      <c r="A356" s="1848"/>
      <c r="B356" s="1118" t="s">
        <v>1226</v>
      </c>
      <c r="C356" s="1439">
        <v>500000</v>
      </c>
      <c r="D356" s="1439"/>
      <c r="E356" s="1439">
        <v>500000</v>
      </c>
      <c r="F356" s="829">
        <f t="shared" si="16"/>
        <v>0</v>
      </c>
      <c r="G356" s="829">
        <f t="shared" si="17"/>
        <v>1000000</v>
      </c>
    </row>
    <row r="357" spans="1:7" ht="112.5" x14ac:dyDescent="0.3">
      <c r="A357" s="1848"/>
      <c r="B357" s="862" t="s">
        <v>1534</v>
      </c>
      <c r="C357" s="1438">
        <f>SUM(D357:E357)</f>
        <v>33390</v>
      </c>
      <c r="D357" s="1438">
        <v>33390</v>
      </c>
      <c r="E357" s="1440"/>
      <c r="F357" s="829">
        <f t="shared" si="16"/>
        <v>0</v>
      </c>
      <c r="G357" s="829">
        <f t="shared" si="17"/>
        <v>66780</v>
      </c>
    </row>
    <row r="358" spans="1:7" ht="93.75" x14ac:dyDescent="0.3">
      <c r="A358" s="1848"/>
      <c r="B358" s="862" t="s">
        <v>1622</v>
      </c>
      <c r="C358" s="1457">
        <v>100000</v>
      </c>
      <c r="D358" s="1457">
        <v>100000</v>
      </c>
      <c r="E358" s="1457"/>
      <c r="F358" s="829">
        <f t="shared" si="16"/>
        <v>0</v>
      </c>
      <c r="G358" s="829">
        <f t="shared" si="17"/>
        <v>200000</v>
      </c>
    </row>
    <row r="359" spans="1:7" hidden="1" x14ac:dyDescent="0.3">
      <c r="A359" s="1848"/>
      <c r="B359" s="862"/>
      <c r="C359" s="1438">
        <f>SUM(D359:E359)</f>
        <v>0</v>
      </c>
      <c r="D359" s="1439"/>
      <c r="E359" s="1440"/>
      <c r="F359" s="829">
        <f t="shared" ref="F359:F406" si="20">E359+D359-C359</f>
        <v>0</v>
      </c>
      <c r="G359" s="829">
        <f t="shared" si="17"/>
        <v>0</v>
      </c>
    </row>
    <row r="360" spans="1:7" hidden="1" x14ac:dyDescent="0.3">
      <c r="A360" s="1848"/>
      <c r="B360" s="862"/>
      <c r="C360" s="1438">
        <f>SUM(D360:E360)</f>
        <v>0</v>
      </c>
      <c r="D360" s="1439"/>
      <c r="E360" s="1440"/>
      <c r="F360" s="829">
        <f t="shared" si="20"/>
        <v>0</v>
      </c>
      <c r="G360" s="829">
        <f t="shared" si="17"/>
        <v>0</v>
      </c>
    </row>
    <row r="361" spans="1:7" hidden="1" x14ac:dyDescent="0.3">
      <c r="A361" s="1848"/>
      <c r="B361" s="862"/>
      <c r="C361" s="1438">
        <f>SUM(D361:E361)</f>
        <v>0</v>
      </c>
      <c r="D361" s="1439"/>
      <c r="E361" s="1440"/>
      <c r="F361" s="829">
        <f t="shared" si="20"/>
        <v>0</v>
      </c>
      <c r="G361" s="829">
        <f t="shared" si="17"/>
        <v>0</v>
      </c>
    </row>
    <row r="362" spans="1:7" hidden="1" x14ac:dyDescent="0.3">
      <c r="A362" s="1848"/>
      <c r="B362" s="862"/>
      <c r="C362" s="1438">
        <f>SUM(D362:E362)</f>
        <v>0</v>
      </c>
      <c r="D362" s="1439"/>
      <c r="E362" s="1440"/>
      <c r="F362" s="829">
        <f t="shared" si="20"/>
        <v>0</v>
      </c>
      <c r="G362" s="829">
        <f t="shared" si="17"/>
        <v>0</v>
      </c>
    </row>
    <row r="363" spans="1:7" hidden="1" x14ac:dyDescent="0.3">
      <c r="A363" s="1848"/>
      <c r="B363" s="862"/>
      <c r="C363" s="1438">
        <f>SUM(D363:E363)</f>
        <v>0</v>
      </c>
      <c r="D363" s="1439"/>
      <c r="E363" s="1440"/>
      <c r="F363" s="829">
        <f t="shared" si="20"/>
        <v>0</v>
      </c>
      <c r="G363" s="829">
        <f t="shared" si="17"/>
        <v>0</v>
      </c>
    </row>
    <row r="364" spans="1:7" x14ac:dyDescent="0.3">
      <c r="A364" s="1848"/>
      <c r="B364" s="862" t="s">
        <v>740</v>
      </c>
      <c r="C364" s="1438">
        <f>SUM(C354:C363)</f>
        <v>767390</v>
      </c>
      <c r="D364" s="1438">
        <f>SUM(D354:D363)</f>
        <v>242390</v>
      </c>
      <c r="E364" s="1438">
        <f>SUM(E354:E363)</f>
        <v>525000</v>
      </c>
      <c r="F364" s="829">
        <f t="shared" si="20"/>
        <v>0</v>
      </c>
      <c r="G364" s="829">
        <f t="shared" si="17"/>
        <v>1534780</v>
      </c>
    </row>
    <row r="365" spans="1:7" ht="75" x14ac:dyDescent="0.3">
      <c r="A365" s="1848" t="s">
        <v>1091</v>
      </c>
      <c r="B365" s="507" t="s">
        <v>617</v>
      </c>
      <c r="C365" s="586">
        <v>183400</v>
      </c>
      <c r="D365" s="586">
        <v>183400</v>
      </c>
      <c r="E365" s="586">
        <f>103000-103000</f>
        <v>0</v>
      </c>
      <c r="F365" s="829">
        <f t="shared" si="20"/>
        <v>0</v>
      </c>
      <c r="G365" s="829">
        <f t="shared" si="17"/>
        <v>366800</v>
      </c>
    </row>
    <row r="366" spans="1:7" ht="112.5" hidden="1" x14ac:dyDescent="0.3">
      <c r="A366" s="1848"/>
      <c r="B366" s="506" t="s">
        <v>618</v>
      </c>
      <c r="C366" s="565"/>
      <c r="D366" s="565"/>
      <c r="E366" s="586"/>
      <c r="F366" s="829">
        <f t="shared" si="20"/>
        <v>0</v>
      </c>
      <c r="G366" s="829">
        <f t="shared" si="17"/>
        <v>0</v>
      </c>
    </row>
    <row r="367" spans="1:7" ht="75" x14ac:dyDescent="0.3">
      <c r="A367" s="1848"/>
      <c r="B367" s="1118" t="s">
        <v>1366</v>
      </c>
      <c r="C367" s="1439">
        <v>150000</v>
      </c>
      <c r="D367" s="1439"/>
      <c r="E367" s="1439">
        <v>150000</v>
      </c>
      <c r="F367" s="829">
        <f t="shared" si="20"/>
        <v>0</v>
      </c>
      <c r="G367" s="829">
        <f t="shared" si="17"/>
        <v>300000</v>
      </c>
    </row>
    <row r="368" spans="1:7" ht="112.5" x14ac:dyDescent="0.3">
      <c r="A368" s="1848"/>
      <c r="B368" s="862" t="s">
        <v>1534</v>
      </c>
      <c r="C368" s="1438">
        <f t="shared" ref="C368:C374" si="21">SUM(D368:E368)</f>
        <v>44520</v>
      </c>
      <c r="D368" s="1438">
        <v>44520</v>
      </c>
      <c r="E368" s="1440"/>
      <c r="F368" s="829">
        <f t="shared" si="20"/>
        <v>0</v>
      </c>
      <c r="G368" s="829">
        <f t="shared" si="17"/>
        <v>89040</v>
      </c>
    </row>
    <row r="369" spans="1:7" ht="56.25" x14ac:dyDescent="0.3">
      <c r="A369" s="1848"/>
      <c r="B369" s="862" t="s">
        <v>1623</v>
      </c>
      <c r="C369" s="1438">
        <f t="shared" si="21"/>
        <v>63800</v>
      </c>
      <c r="D369" s="1457">
        <v>13850</v>
      </c>
      <c r="E369" s="1457">
        <v>49950</v>
      </c>
      <c r="F369" s="829">
        <f t="shared" si="20"/>
        <v>0</v>
      </c>
      <c r="G369" s="829">
        <f t="shared" si="17"/>
        <v>127600</v>
      </c>
    </row>
    <row r="370" spans="1:7" ht="75" x14ac:dyDescent="0.3">
      <c r="A370" s="1848"/>
      <c r="B370" s="506" t="s">
        <v>1624</v>
      </c>
      <c r="C370" s="1438">
        <f t="shared" si="21"/>
        <v>63800</v>
      </c>
      <c r="D370" s="565">
        <v>13850</v>
      </c>
      <c r="E370" s="565">
        <v>49950</v>
      </c>
      <c r="F370" s="829">
        <f t="shared" si="20"/>
        <v>0</v>
      </c>
      <c r="G370" s="829">
        <f t="shared" si="17"/>
        <v>127600</v>
      </c>
    </row>
    <row r="371" spans="1:7" s="435" customFormat="1" ht="75" x14ac:dyDescent="0.3">
      <c r="A371" s="1848"/>
      <c r="B371" s="1628" t="s">
        <v>2128</v>
      </c>
      <c r="C371" s="1625">
        <v>30000</v>
      </c>
      <c r="D371" s="1625">
        <v>30000</v>
      </c>
      <c r="E371" s="1625"/>
      <c r="F371" s="829">
        <f t="shared" si="20"/>
        <v>0</v>
      </c>
      <c r="G371" s="829">
        <f t="shared" si="17"/>
        <v>60000</v>
      </c>
    </row>
    <row r="372" spans="1:7" s="435" customFormat="1" hidden="1" x14ac:dyDescent="0.3">
      <c r="A372" s="1848"/>
      <c r="B372" s="862"/>
      <c r="C372" s="1438">
        <f t="shared" si="21"/>
        <v>0</v>
      </c>
      <c r="D372" s="1439"/>
      <c r="E372" s="1440"/>
      <c r="F372" s="829">
        <f t="shared" si="20"/>
        <v>0</v>
      </c>
      <c r="G372" s="829">
        <f t="shared" si="17"/>
        <v>0</v>
      </c>
    </row>
    <row r="373" spans="1:7" s="435" customFormat="1" hidden="1" x14ac:dyDescent="0.3">
      <c r="A373" s="1848"/>
      <c r="B373" s="862"/>
      <c r="C373" s="1438">
        <f t="shared" si="21"/>
        <v>0</v>
      </c>
      <c r="D373" s="1439"/>
      <c r="E373" s="1440"/>
      <c r="F373" s="829">
        <f t="shared" si="20"/>
        <v>0</v>
      </c>
      <c r="G373" s="829">
        <f t="shared" si="17"/>
        <v>0</v>
      </c>
    </row>
    <row r="374" spans="1:7" s="435" customFormat="1" hidden="1" x14ac:dyDescent="0.3">
      <c r="A374" s="1848"/>
      <c r="B374" s="862"/>
      <c r="C374" s="1438">
        <f t="shared" si="21"/>
        <v>0</v>
      </c>
      <c r="D374" s="1439"/>
      <c r="E374" s="1440"/>
      <c r="F374" s="829">
        <f t="shared" si="20"/>
        <v>0</v>
      </c>
      <c r="G374" s="829">
        <f t="shared" si="17"/>
        <v>0</v>
      </c>
    </row>
    <row r="375" spans="1:7" s="435" customFormat="1" x14ac:dyDescent="0.3">
      <c r="A375" s="1848"/>
      <c r="B375" s="862" t="s">
        <v>740</v>
      </c>
      <c r="C375" s="1438">
        <f>SUM(C365:C374)</f>
        <v>535520</v>
      </c>
      <c r="D375" s="1438">
        <f>SUM(D365:D374)</f>
        <v>285620</v>
      </c>
      <c r="E375" s="1438">
        <f>SUM(E365:E374)</f>
        <v>249900</v>
      </c>
      <c r="F375" s="829">
        <f t="shared" si="20"/>
        <v>0</v>
      </c>
      <c r="G375" s="829">
        <f t="shared" si="17"/>
        <v>1071040</v>
      </c>
    </row>
    <row r="376" spans="1:7" s="435" customFormat="1" ht="75" x14ac:dyDescent="0.3">
      <c r="A376" s="1848" t="s">
        <v>1092</v>
      </c>
      <c r="B376" s="507" t="s">
        <v>617</v>
      </c>
      <c r="C376" s="565">
        <v>26900</v>
      </c>
      <c r="D376" s="565">
        <v>26900</v>
      </c>
      <c r="E376" s="586"/>
      <c r="F376" s="829">
        <f t="shared" si="20"/>
        <v>0</v>
      </c>
      <c r="G376" s="829">
        <f t="shared" si="17"/>
        <v>53800</v>
      </c>
    </row>
    <row r="377" spans="1:7" s="435" customFormat="1" ht="56.25" x14ac:dyDescent="0.3">
      <c r="A377" s="1848"/>
      <c r="B377" s="506" t="s">
        <v>1558</v>
      </c>
      <c r="C377" s="565">
        <v>50000</v>
      </c>
      <c r="D377" s="1457">
        <v>50000</v>
      </c>
      <c r="E377" s="586"/>
      <c r="F377" s="829">
        <f t="shared" si="20"/>
        <v>0</v>
      </c>
      <c r="G377" s="829">
        <f t="shared" si="17"/>
        <v>100000</v>
      </c>
    </row>
    <row r="378" spans="1:7" s="435" customFormat="1" ht="56.25" x14ac:dyDescent="0.3">
      <c r="A378" s="1848"/>
      <c r="B378" s="506" t="s">
        <v>1889</v>
      </c>
      <c r="C378" s="882">
        <v>50000</v>
      </c>
      <c r="D378" s="882">
        <v>50000</v>
      </c>
      <c r="E378" s="882"/>
      <c r="F378" s="829">
        <f t="shared" si="20"/>
        <v>0</v>
      </c>
      <c r="G378" s="829">
        <f t="shared" si="17"/>
        <v>100000</v>
      </c>
    </row>
    <row r="379" spans="1:7" s="435" customFormat="1" ht="37.5" x14ac:dyDescent="0.3">
      <c r="A379" s="1848"/>
      <c r="B379" s="1118" t="s">
        <v>1242</v>
      </c>
      <c r="C379" s="1439">
        <v>40000</v>
      </c>
      <c r="D379" s="1439">
        <f>40000-40000</f>
        <v>0</v>
      </c>
      <c r="E379" s="1439">
        <v>40000</v>
      </c>
      <c r="F379" s="829">
        <f t="shared" si="20"/>
        <v>0</v>
      </c>
      <c r="G379" s="829">
        <f t="shared" si="17"/>
        <v>80000</v>
      </c>
    </row>
    <row r="380" spans="1:7" s="435" customFormat="1" ht="37.5" x14ac:dyDescent="0.3">
      <c r="A380" s="1848"/>
      <c r="B380" s="862" t="s">
        <v>2017</v>
      </c>
      <c r="C380" s="1627">
        <v>20000</v>
      </c>
      <c r="D380" s="1627"/>
      <c r="E380" s="1627">
        <v>20000</v>
      </c>
      <c r="F380" s="829">
        <f t="shared" si="20"/>
        <v>0</v>
      </c>
      <c r="G380" s="829">
        <f t="shared" si="17"/>
        <v>40000</v>
      </c>
    </row>
    <row r="381" spans="1:7" s="435" customFormat="1" ht="75" x14ac:dyDescent="0.3">
      <c r="A381" s="1848"/>
      <c r="B381" s="1623" t="s">
        <v>2129</v>
      </c>
      <c r="C381" s="1625">
        <v>100000</v>
      </c>
      <c r="D381" s="1625"/>
      <c r="E381" s="1625">
        <v>100000</v>
      </c>
      <c r="F381" s="829">
        <f t="shared" si="20"/>
        <v>0</v>
      </c>
      <c r="G381" s="829">
        <f t="shared" si="17"/>
        <v>200000</v>
      </c>
    </row>
    <row r="382" spans="1:7" s="435" customFormat="1" hidden="1" x14ac:dyDescent="0.3">
      <c r="A382" s="1848"/>
      <c r="B382" s="862"/>
      <c r="C382" s="1438">
        <f>SUM(D382:E382)</f>
        <v>0</v>
      </c>
      <c r="D382" s="1439"/>
      <c r="E382" s="1440"/>
      <c r="F382" s="829">
        <f t="shared" si="20"/>
        <v>0</v>
      </c>
      <c r="G382" s="829">
        <f t="shared" si="17"/>
        <v>0</v>
      </c>
    </row>
    <row r="383" spans="1:7" s="435" customFormat="1" hidden="1" x14ac:dyDescent="0.3">
      <c r="A383" s="1848"/>
      <c r="B383" s="862"/>
      <c r="C383" s="1438">
        <f>SUM(D383:E383)</f>
        <v>0</v>
      </c>
      <c r="D383" s="1439"/>
      <c r="E383" s="1440"/>
      <c r="F383" s="829">
        <f t="shared" si="20"/>
        <v>0</v>
      </c>
      <c r="G383" s="829">
        <f t="shared" si="17"/>
        <v>0</v>
      </c>
    </row>
    <row r="384" spans="1:7" s="435" customFormat="1" hidden="1" x14ac:dyDescent="0.3">
      <c r="A384" s="1848"/>
      <c r="B384" s="862"/>
      <c r="C384" s="1438">
        <f>SUM(D384:E384)</f>
        <v>0</v>
      </c>
      <c r="D384" s="1439"/>
      <c r="E384" s="1440"/>
      <c r="F384" s="829">
        <f t="shared" si="20"/>
        <v>0</v>
      </c>
      <c r="G384" s="829">
        <f t="shared" si="17"/>
        <v>0</v>
      </c>
    </row>
    <row r="385" spans="1:7" s="435" customFormat="1" hidden="1" x14ac:dyDescent="0.3">
      <c r="A385" s="1848"/>
      <c r="B385" s="862"/>
      <c r="C385" s="1438">
        <f>SUM(D385:E385)</f>
        <v>0</v>
      </c>
      <c r="D385" s="1439"/>
      <c r="E385" s="1440"/>
      <c r="F385" s="829">
        <f t="shared" si="20"/>
        <v>0</v>
      </c>
      <c r="G385" s="829">
        <f t="shared" si="17"/>
        <v>0</v>
      </c>
    </row>
    <row r="386" spans="1:7" s="435" customFormat="1" x14ac:dyDescent="0.3">
      <c r="A386" s="1848"/>
      <c r="B386" s="862" t="s">
        <v>740</v>
      </c>
      <c r="C386" s="1438">
        <f>SUM(C376:C385)</f>
        <v>286900</v>
      </c>
      <c r="D386" s="1438">
        <f>SUM(D376:D385)</f>
        <v>126900</v>
      </c>
      <c r="E386" s="1438">
        <f>SUM(E376:E385)</f>
        <v>160000</v>
      </c>
      <c r="F386" s="829">
        <f t="shared" si="20"/>
        <v>0</v>
      </c>
      <c r="G386" s="829">
        <f t="shared" si="17"/>
        <v>573800</v>
      </c>
    </row>
    <row r="387" spans="1:7" s="435" customFormat="1" ht="75" x14ac:dyDescent="0.3">
      <c r="A387" s="1848" t="s">
        <v>1093</v>
      </c>
      <c r="B387" s="507" t="s">
        <v>617</v>
      </c>
      <c r="C387" s="586">
        <v>9900</v>
      </c>
      <c r="D387" s="586">
        <v>9900</v>
      </c>
      <c r="E387" s="586"/>
      <c r="F387" s="829">
        <f t="shared" si="20"/>
        <v>0</v>
      </c>
      <c r="G387" s="829">
        <f t="shared" si="17"/>
        <v>19800</v>
      </c>
    </row>
    <row r="388" spans="1:7" s="435" customFormat="1" ht="37.5" x14ac:dyDescent="0.3">
      <c r="A388" s="1848"/>
      <c r="B388" s="1630" t="s">
        <v>1500</v>
      </c>
      <c r="C388" s="565">
        <v>16451</v>
      </c>
      <c r="D388" s="565">
        <v>16451</v>
      </c>
      <c r="E388" s="586"/>
      <c r="F388" s="829">
        <f t="shared" si="20"/>
        <v>0</v>
      </c>
      <c r="G388" s="829">
        <f t="shared" si="17"/>
        <v>32902</v>
      </c>
    </row>
    <row r="389" spans="1:7" s="435" customFormat="1" ht="93.75" x14ac:dyDescent="0.3">
      <c r="A389" s="1848"/>
      <c r="B389" s="506" t="s">
        <v>1975</v>
      </c>
      <c r="C389" s="565">
        <v>49500</v>
      </c>
      <c r="D389" s="565">
        <v>49500</v>
      </c>
      <c r="E389" s="586"/>
      <c r="F389" s="829">
        <f t="shared" si="20"/>
        <v>0</v>
      </c>
      <c r="G389" s="829">
        <f t="shared" si="17"/>
        <v>99000</v>
      </c>
    </row>
    <row r="390" spans="1:7" s="435" customFormat="1" hidden="1" x14ac:dyDescent="0.3">
      <c r="A390" s="1848"/>
      <c r="B390" s="862"/>
      <c r="C390" s="1438">
        <f t="shared" ref="C390:C396" si="22">SUM(D390:E390)</f>
        <v>0</v>
      </c>
      <c r="D390" s="1439"/>
      <c r="E390" s="1440"/>
      <c r="F390" s="829">
        <f t="shared" si="20"/>
        <v>0</v>
      </c>
      <c r="G390" s="829">
        <f t="shared" si="17"/>
        <v>0</v>
      </c>
    </row>
    <row r="391" spans="1:7" s="435" customFormat="1" hidden="1" x14ac:dyDescent="0.3">
      <c r="A391" s="1848"/>
      <c r="B391" s="862"/>
      <c r="C391" s="1438">
        <f t="shared" si="22"/>
        <v>0</v>
      </c>
      <c r="D391" s="1439"/>
      <c r="E391" s="1440"/>
      <c r="F391" s="829">
        <f t="shared" si="20"/>
        <v>0</v>
      </c>
      <c r="G391" s="829">
        <f t="shared" si="17"/>
        <v>0</v>
      </c>
    </row>
    <row r="392" spans="1:7" s="435" customFormat="1" hidden="1" x14ac:dyDescent="0.3">
      <c r="A392" s="1848"/>
      <c r="B392" s="862"/>
      <c r="C392" s="1438">
        <f t="shared" si="22"/>
        <v>0</v>
      </c>
      <c r="D392" s="1439"/>
      <c r="E392" s="1440"/>
      <c r="F392" s="829">
        <f t="shared" si="20"/>
        <v>0</v>
      </c>
      <c r="G392" s="829">
        <f t="shared" si="17"/>
        <v>0</v>
      </c>
    </row>
    <row r="393" spans="1:7" s="435" customFormat="1" hidden="1" x14ac:dyDescent="0.3">
      <c r="A393" s="1848"/>
      <c r="B393" s="862"/>
      <c r="C393" s="1438">
        <f t="shared" si="22"/>
        <v>0</v>
      </c>
      <c r="D393" s="1439"/>
      <c r="E393" s="1440"/>
      <c r="F393" s="829">
        <f t="shared" si="20"/>
        <v>0</v>
      </c>
      <c r="G393" s="829">
        <f t="shared" ref="G393:G456" si="23">SUM(C393:E393)</f>
        <v>0</v>
      </c>
    </row>
    <row r="394" spans="1:7" s="435" customFormat="1" hidden="1" x14ac:dyDescent="0.3">
      <c r="A394" s="1848"/>
      <c r="B394" s="862"/>
      <c r="C394" s="1438">
        <f t="shared" si="22"/>
        <v>0</v>
      </c>
      <c r="D394" s="1439"/>
      <c r="E394" s="1440"/>
      <c r="F394" s="829">
        <f t="shared" si="20"/>
        <v>0</v>
      </c>
      <c r="G394" s="829">
        <f t="shared" si="23"/>
        <v>0</v>
      </c>
    </row>
    <row r="395" spans="1:7" s="435" customFormat="1" hidden="1" x14ac:dyDescent="0.3">
      <c r="A395" s="1848"/>
      <c r="B395" s="862"/>
      <c r="C395" s="1438">
        <f t="shared" si="22"/>
        <v>0</v>
      </c>
      <c r="D395" s="1439"/>
      <c r="E395" s="1440"/>
      <c r="F395" s="829">
        <f t="shared" si="20"/>
        <v>0</v>
      </c>
      <c r="G395" s="829">
        <f t="shared" si="23"/>
        <v>0</v>
      </c>
    </row>
    <row r="396" spans="1:7" s="435" customFormat="1" hidden="1" x14ac:dyDescent="0.3">
      <c r="A396" s="1848"/>
      <c r="B396" s="862"/>
      <c r="C396" s="1438">
        <f t="shared" si="22"/>
        <v>0</v>
      </c>
      <c r="D396" s="1439"/>
      <c r="E396" s="1440"/>
      <c r="F396" s="829">
        <f t="shared" si="20"/>
        <v>0</v>
      </c>
      <c r="G396" s="829">
        <f t="shared" si="23"/>
        <v>0</v>
      </c>
    </row>
    <row r="397" spans="1:7" s="435" customFormat="1" x14ac:dyDescent="0.3">
      <c r="A397" s="1848"/>
      <c r="B397" s="862" t="s">
        <v>740</v>
      </c>
      <c r="C397" s="1438">
        <f>SUM(C387:C396)</f>
        <v>75851</v>
      </c>
      <c r="D397" s="1438">
        <f>SUM(D387:D396)</f>
        <v>75851</v>
      </c>
      <c r="E397" s="1438">
        <f>SUM(E387:E396)</f>
        <v>0</v>
      </c>
      <c r="F397" s="829">
        <f t="shared" si="20"/>
        <v>0</v>
      </c>
      <c r="G397" s="829">
        <f t="shared" si="23"/>
        <v>151702</v>
      </c>
    </row>
    <row r="398" spans="1:7" s="435" customFormat="1" ht="75" x14ac:dyDescent="0.3">
      <c r="A398" s="1848" t="s">
        <v>1094</v>
      </c>
      <c r="B398" s="507" t="s">
        <v>617</v>
      </c>
      <c r="C398" s="565">
        <v>2000</v>
      </c>
      <c r="D398" s="565">
        <v>2000</v>
      </c>
      <c r="E398" s="586"/>
      <c r="F398" s="829">
        <f t="shared" si="20"/>
        <v>0</v>
      </c>
      <c r="G398" s="829">
        <f t="shared" si="23"/>
        <v>4000</v>
      </c>
    </row>
    <row r="399" spans="1:7" s="970" customFormat="1" ht="37.5" hidden="1" x14ac:dyDescent="0.3">
      <c r="A399" s="1848"/>
      <c r="B399" s="1120" t="s">
        <v>1272</v>
      </c>
      <c r="C399" s="1459">
        <f>200000-200000</f>
        <v>0</v>
      </c>
      <c r="D399" s="1459">
        <f>200000-200000</f>
        <v>0</v>
      </c>
      <c r="E399" s="1459"/>
      <c r="F399" s="969">
        <f t="shared" si="20"/>
        <v>0</v>
      </c>
      <c r="G399" s="829">
        <f t="shared" si="23"/>
        <v>0</v>
      </c>
    </row>
    <row r="400" spans="1:7" s="435" customFormat="1" ht="56.25" x14ac:dyDescent="0.3">
      <c r="A400" s="1848"/>
      <c r="B400" s="1121" t="s">
        <v>1273</v>
      </c>
      <c r="C400" s="1626">
        <v>60000</v>
      </c>
      <c r="D400" s="1635"/>
      <c r="E400" s="1439">
        <v>60000</v>
      </c>
      <c r="F400" s="829">
        <f t="shared" si="20"/>
        <v>0</v>
      </c>
      <c r="G400" s="829">
        <f t="shared" si="23"/>
        <v>120000</v>
      </c>
    </row>
    <row r="401" spans="1:7" s="435" customFormat="1" ht="37.5" x14ac:dyDescent="0.3">
      <c r="A401" s="1848"/>
      <c r="B401" s="506" t="s">
        <v>1625</v>
      </c>
      <c r="C401" s="1438">
        <f>SUM(D401:E401)</f>
        <v>95000</v>
      </c>
      <c r="D401" s="565">
        <v>95000</v>
      </c>
      <c r="E401" s="892"/>
      <c r="F401" s="829">
        <f t="shared" si="20"/>
        <v>0</v>
      </c>
      <c r="G401" s="829">
        <f t="shared" si="23"/>
        <v>190000</v>
      </c>
    </row>
    <row r="402" spans="1:7" s="435" customFormat="1" ht="37.5" x14ac:dyDescent="0.3">
      <c r="A402" s="1848"/>
      <c r="B402" s="506" t="s">
        <v>1626</v>
      </c>
      <c r="C402" s="1438">
        <f>SUM(D402:E402)</f>
        <v>100000</v>
      </c>
      <c r="D402" s="565">
        <v>100000</v>
      </c>
      <c r="E402" s="892"/>
      <c r="F402" s="829">
        <f t="shared" si="20"/>
        <v>0</v>
      </c>
      <c r="G402" s="829">
        <f t="shared" si="23"/>
        <v>200000</v>
      </c>
    </row>
    <row r="403" spans="1:7" s="435" customFormat="1" ht="75" x14ac:dyDescent="0.3">
      <c r="A403" s="1848"/>
      <c r="B403" s="862" t="s">
        <v>1628</v>
      </c>
      <c r="C403" s="1457">
        <v>100000</v>
      </c>
      <c r="D403" s="1457">
        <v>100000</v>
      </c>
      <c r="E403" s="1457"/>
      <c r="F403" s="829">
        <f t="shared" si="20"/>
        <v>0</v>
      </c>
      <c r="G403" s="829">
        <f t="shared" si="23"/>
        <v>200000</v>
      </c>
    </row>
    <row r="404" spans="1:7" s="435" customFormat="1" ht="75" x14ac:dyDescent="0.3">
      <c r="A404" s="1848"/>
      <c r="B404" s="506" t="s">
        <v>1627</v>
      </c>
      <c r="C404" s="565">
        <v>250000</v>
      </c>
      <c r="D404" s="565"/>
      <c r="E404" s="565">
        <v>250000</v>
      </c>
      <c r="F404" s="829">
        <f t="shared" si="20"/>
        <v>0</v>
      </c>
      <c r="G404" s="829">
        <f t="shared" si="23"/>
        <v>500000</v>
      </c>
    </row>
    <row r="405" spans="1:7" s="435" customFormat="1" ht="75" x14ac:dyDescent="0.3">
      <c r="A405" s="1848"/>
      <c r="B405" s="506" t="s">
        <v>1946</v>
      </c>
      <c r="C405" s="882">
        <v>49000</v>
      </c>
      <c r="D405" s="882">
        <v>49000</v>
      </c>
      <c r="E405" s="1440"/>
      <c r="F405" s="829">
        <f t="shared" si="20"/>
        <v>0</v>
      </c>
      <c r="G405" s="829">
        <f t="shared" si="23"/>
        <v>98000</v>
      </c>
    </row>
    <row r="406" spans="1:7" s="435" customFormat="1" ht="37.5" x14ac:dyDescent="0.3">
      <c r="A406" s="1848"/>
      <c r="B406" s="506" t="s">
        <v>1947</v>
      </c>
      <c r="C406" s="882">
        <v>18000</v>
      </c>
      <c r="D406" s="882">
        <v>18000</v>
      </c>
      <c r="E406" s="1440"/>
      <c r="F406" s="829">
        <f t="shared" si="20"/>
        <v>0</v>
      </c>
      <c r="G406" s="829">
        <f t="shared" si="23"/>
        <v>36000</v>
      </c>
    </row>
    <row r="407" spans="1:7" s="435" customFormat="1" ht="75" x14ac:dyDescent="0.3">
      <c r="A407" s="1848"/>
      <c r="B407" s="506" t="s">
        <v>1980</v>
      </c>
      <c r="C407" s="565">
        <v>120000</v>
      </c>
      <c r="D407" s="565">
        <v>120000</v>
      </c>
      <c r="E407" s="586"/>
      <c r="F407" s="829">
        <f t="shared" ref="F407:F418" si="24">E407+D407-C407</f>
        <v>0</v>
      </c>
      <c r="G407" s="829">
        <f t="shared" si="23"/>
        <v>240000</v>
      </c>
    </row>
    <row r="408" spans="1:7" s="435" customFormat="1" ht="75" x14ac:dyDescent="0.3">
      <c r="A408" s="1848"/>
      <c r="B408" s="1628" t="s">
        <v>2130</v>
      </c>
      <c r="C408" s="1636">
        <v>2782</v>
      </c>
      <c r="D408" s="1558"/>
      <c r="E408" s="1625">
        <v>2782</v>
      </c>
      <c r="F408" s="829">
        <f t="shared" si="24"/>
        <v>0</v>
      </c>
      <c r="G408" s="829">
        <f t="shared" si="23"/>
        <v>5564</v>
      </c>
    </row>
    <row r="409" spans="1:7" s="435" customFormat="1" ht="93.75" x14ac:dyDescent="0.3">
      <c r="A409" s="1848"/>
      <c r="B409" s="1628" t="s">
        <v>2131</v>
      </c>
      <c r="C409" s="1558">
        <v>19684</v>
      </c>
      <c r="D409" s="1558">
        <v>19684</v>
      </c>
      <c r="E409" s="1558"/>
      <c r="F409" s="829">
        <f t="shared" si="24"/>
        <v>0</v>
      </c>
      <c r="G409" s="829">
        <f t="shared" si="23"/>
        <v>39368</v>
      </c>
    </row>
    <row r="410" spans="1:7" s="435" customFormat="1" ht="56.25" x14ac:dyDescent="0.3">
      <c r="A410" s="1848"/>
      <c r="B410" s="1628" t="s">
        <v>2132</v>
      </c>
      <c r="C410" s="1625">
        <v>49990</v>
      </c>
      <c r="D410" s="1625">
        <v>49990</v>
      </c>
      <c r="E410" s="1625"/>
      <c r="F410" s="829">
        <f t="shared" si="24"/>
        <v>0</v>
      </c>
      <c r="G410" s="829">
        <f t="shared" si="23"/>
        <v>99980</v>
      </c>
    </row>
    <row r="411" spans="1:7" s="435" customFormat="1" ht="75" x14ac:dyDescent="0.3">
      <c r="A411" s="1848"/>
      <c r="B411" s="1628" t="s">
        <v>2130</v>
      </c>
      <c r="C411" s="1625">
        <v>47118</v>
      </c>
      <c r="D411" s="1625"/>
      <c r="E411" s="1625">
        <v>47118</v>
      </c>
      <c r="F411" s="829">
        <f t="shared" si="24"/>
        <v>0</v>
      </c>
      <c r="G411" s="829">
        <f t="shared" si="23"/>
        <v>94236</v>
      </c>
    </row>
    <row r="412" spans="1:7" s="435" customFormat="1" ht="93.75" x14ac:dyDescent="0.3">
      <c r="A412" s="1848"/>
      <c r="B412" s="1628" t="s">
        <v>2131</v>
      </c>
      <c r="C412" s="1631">
        <v>10000</v>
      </c>
      <c r="D412" s="1631">
        <v>10000</v>
      </c>
      <c r="E412" s="1625"/>
      <c r="F412" s="829">
        <f t="shared" si="24"/>
        <v>0</v>
      </c>
      <c r="G412" s="829">
        <f t="shared" si="23"/>
        <v>20000</v>
      </c>
    </row>
    <row r="413" spans="1:7" s="435" customFormat="1" ht="93.75" x14ac:dyDescent="0.3">
      <c r="A413" s="1848"/>
      <c r="B413" s="1628" t="s">
        <v>2131</v>
      </c>
      <c r="C413" s="1631">
        <v>20000</v>
      </c>
      <c r="D413" s="1631">
        <v>20000</v>
      </c>
      <c r="E413" s="1625"/>
      <c r="F413" s="829">
        <f t="shared" si="24"/>
        <v>0</v>
      </c>
      <c r="G413" s="829">
        <f t="shared" si="23"/>
        <v>40000</v>
      </c>
    </row>
    <row r="414" spans="1:7" s="435" customFormat="1" hidden="1" x14ac:dyDescent="0.3">
      <c r="A414" s="1848"/>
      <c r="B414" s="227"/>
      <c r="C414" s="1324"/>
      <c r="D414" s="1324"/>
      <c r="E414" s="1440"/>
      <c r="F414" s="829">
        <f t="shared" si="24"/>
        <v>0</v>
      </c>
      <c r="G414" s="829">
        <f t="shared" si="23"/>
        <v>0</v>
      </c>
    </row>
    <row r="415" spans="1:7" s="435" customFormat="1" hidden="1" x14ac:dyDescent="0.3">
      <c r="A415" s="1848"/>
      <c r="B415" s="227"/>
      <c r="C415" s="1324"/>
      <c r="D415" s="1324"/>
      <c r="E415" s="1440"/>
      <c r="F415" s="829">
        <f t="shared" si="24"/>
        <v>0</v>
      </c>
      <c r="G415" s="829">
        <f t="shared" si="23"/>
        <v>0</v>
      </c>
    </row>
    <row r="416" spans="1:7" s="435" customFormat="1" hidden="1" x14ac:dyDescent="0.3">
      <c r="A416" s="1848"/>
      <c r="B416" s="227"/>
      <c r="C416" s="1324"/>
      <c r="D416" s="1324"/>
      <c r="E416" s="1440"/>
      <c r="F416" s="829">
        <f t="shared" si="24"/>
        <v>0</v>
      </c>
      <c r="G416" s="829">
        <f t="shared" si="23"/>
        <v>0</v>
      </c>
    </row>
    <row r="417" spans="1:7" s="435" customFormat="1" hidden="1" x14ac:dyDescent="0.3">
      <c r="A417" s="1848"/>
      <c r="B417" s="862"/>
      <c r="C417" s="1438">
        <f>SUM(D417:E417)</f>
        <v>0</v>
      </c>
      <c r="D417" s="1439"/>
      <c r="E417" s="1440"/>
      <c r="F417" s="829">
        <f t="shared" si="24"/>
        <v>0</v>
      </c>
      <c r="G417" s="829">
        <f t="shared" si="23"/>
        <v>0</v>
      </c>
    </row>
    <row r="418" spans="1:7" s="435" customFormat="1" x14ac:dyDescent="0.3">
      <c r="A418" s="1848"/>
      <c r="B418" s="862" t="s">
        <v>740</v>
      </c>
      <c r="C418" s="1438">
        <f>SUM(C398:C417)</f>
        <v>943574</v>
      </c>
      <c r="D418" s="1438">
        <f>SUM(D398:D417)</f>
        <v>583674</v>
      </c>
      <c r="E418" s="1438">
        <f>SUM(E398:E417)</f>
        <v>359900</v>
      </c>
      <c r="F418" s="829">
        <f t="shared" si="24"/>
        <v>0</v>
      </c>
      <c r="G418" s="829">
        <f t="shared" si="23"/>
        <v>1887148</v>
      </c>
    </row>
    <row r="419" spans="1:7" s="435" customFormat="1" ht="75" hidden="1" x14ac:dyDescent="0.3">
      <c r="A419" s="1848" t="s">
        <v>1095</v>
      </c>
      <c r="B419" s="507" t="s">
        <v>617</v>
      </c>
      <c r="C419" s="1457">
        <f>700-700</f>
        <v>0</v>
      </c>
      <c r="D419" s="1457">
        <f>700-700</f>
        <v>0</v>
      </c>
      <c r="E419" s="1457"/>
      <c r="F419" s="829">
        <f t="shared" ref="F419:F511" si="25">E419+D419-C419</f>
        <v>0</v>
      </c>
      <c r="G419" s="829">
        <f t="shared" si="23"/>
        <v>0</v>
      </c>
    </row>
    <row r="420" spans="1:7" s="435" customFormat="1" ht="112.5" hidden="1" x14ac:dyDescent="0.3">
      <c r="A420" s="1848"/>
      <c r="B420" s="506" t="s">
        <v>618</v>
      </c>
      <c r="C420" s="565"/>
      <c r="D420" s="565"/>
      <c r="E420" s="586"/>
      <c r="F420" s="829">
        <f t="shared" si="25"/>
        <v>0</v>
      </c>
      <c r="G420" s="829">
        <f t="shared" si="23"/>
        <v>0</v>
      </c>
    </row>
    <row r="421" spans="1:7" s="435" customFormat="1" ht="75" x14ac:dyDescent="0.3">
      <c r="A421" s="1848"/>
      <c r="B421" s="506" t="s">
        <v>1887</v>
      </c>
      <c r="C421" s="1637">
        <v>400000</v>
      </c>
      <c r="D421" s="1562"/>
      <c r="E421" s="883">
        <v>400000</v>
      </c>
      <c r="F421" s="829">
        <f t="shared" si="25"/>
        <v>0</v>
      </c>
      <c r="G421" s="829">
        <f t="shared" si="23"/>
        <v>800000</v>
      </c>
    </row>
    <row r="422" spans="1:7" s="435" customFormat="1" ht="56.25" x14ac:dyDescent="0.3">
      <c r="A422" s="1848"/>
      <c r="B422" s="1121" t="s">
        <v>1333</v>
      </c>
      <c r="C422" s="1622">
        <v>46000</v>
      </c>
      <c r="D422" s="1622">
        <v>46000</v>
      </c>
      <c r="E422" s="1440"/>
      <c r="F422" s="829">
        <f t="shared" si="25"/>
        <v>0</v>
      </c>
      <c r="G422" s="829">
        <f t="shared" si="23"/>
        <v>92000</v>
      </c>
    </row>
    <row r="423" spans="1:7" s="435" customFormat="1" ht="75" x14ac:dyDescent="0.3">
      <c r="A423" s="1848"/>
      <c r="B423" s="1121" t="s">
        <v>1334</v>
      </c>
      <c r="C423" s="1622">
        <v>62000</v>
      </c>
      <c r="D423" s="1622">
        <v>62000</v>
      </c>
      <c r="E423" s="1440"/>
      <c r="F423" s="829">
        <f t="shared" si="25"/>
        <v>0</v>
      </c>
      <c r="G423" s="829">
        <f t="shared" si="23"/>
        <v>124000</v>
      </c>
    </row>
    <row r="424" spans="1:7" s="435" customFormat="1" ht="56.25" x14ac:dyDescent="0.3">
      <c r="A424" s="1848"/>
      <c r="B424" s="1121" t="s">
        <v>1335</v>
      </c>
      <c r="C424" s="1622">
        <v>40000</v>
      </c>
      <c r="D424" s="1622"/>
      <c r="E424" s="1440">
        <v>40000</v>
      </c>
      <c r="F424" s="829">
        <f t="shared" si="25"/>
        <v>0</v>
      </c>
      <c r="G424" s="829">
        <f t="shared" si="23"/>
        <v>80000</v>
      </c>
    </row>
    <row r="425" spans="1:7" s="435" customFormat="1" ht="37.5" x14ac:dyDescent="0.3">
      <c r="A425" s="1848"/>
      <c r="B425" s="1121" t="s">
        <v>1552</v>
      </c>
      <c r="C425" s="1622">
        <v>52000</v>
      </c>
      <c r="D425" s="1622">
        <v>52000</v>
      </c>
      <c r="E425" s="1440"/>
      <c r="F425" s="829">
        <f t="shared" si="25"/>
        <v>0</v>
      </c>
      <c r="G425" s="829">
        <f t="shared" si="23"/>
        <v>104000</v>
      </c>
    </row>
    <row r="426" spans="1:7" s="435" customFormat="1" ht="56.25" x14ac:dyDescent="0.3">
      <c r="A426" s="1848"/>
      <c r="B426" s="1630" t="s">
        <v>1501</v>
      </c>
      <c r="C426" s="565">
        <v>36200</v>
      </c>
      <c r="D426" s="565"/>
      <c r="E426" s="586">
        <v>36200</v>
      </c>
      <c r="F426" s="829">
        <f t="shared" si="25"/>
        <v>0</v>
      </c>
      <c r="G426" s="829">
        <f t="shared" si="23"/>
        <v>72400</v>
      </c>
    </row>
    <row r="427" spans="1:7" s="435" customFormat="1" ht="37.5" x14ac:dyDescent="0.3">
      <c r="A427" s="1848"/>
      <c r="B427" s="506" t="s">
        <v>1629</v>
      </c>
      <c r="C427" s="1438">
        <f>SUM(D427:E427)</f>
        <v>10000</v>
      </c>
      <c r="D427" s="565">
        <v>10000</v>
      </c>
      <c r="E427" s="892"/>
      <c r="F427" s="829">
        <f t="shared" si="25"/>
        <v>0</v>
      </c>
      <c r="G427" s="829">
        <f t="shared" si="23"/>
        <v>20000</v>
      </c>
    </row>
    <row r="428" spans="1:7" s="435" customFormat="1" ht="56.25" x14ac:dyDescent="0.3">
      <c r="A428" s="1848"/>
      <c r="B428" s="506" t="s">
        <v>1630</v>
      </c>
      <c r="C428" s="1438">
        <f>SUM(D428:E428)</f>
        <v>20000</v>
      </c>
      <c r="D428" s="565">
        <v>20000</v>
      </c>
      <c r="E428" s="892"/>
      <c r="F428" s="829">
        <f t="shared" si="25"/>
        <v>0</v>
      </c>
      <c r="G428" s="829">
        <f t="shared" si="23"/>
        <v>40000</v>
      </c>
    </row>
    <row r="429" spans="1:7" s="435" customFormat="1" ht="56.25" x14ac:dyDescent="0.3">
      <c r="A429" s="1848"/>
      <c r="B429" s="506" t="s">
        <v>1631</v>
      </c>
      <c r="C429" s="1438">
        <f>SUM(D429:E429)</f>
        <v>23000</v>
      </c>
      <c r="D429" s="565">
        <v>23000</v>
      </c>
      <c r="E429" s="892"/>
      <c r="F429" s="829">
        <f t="shared" si="25"/>
        <v>0</v>
      </c>
      <c r="G429" s="829">
        <f t="shared" si="23"/>
        <v>46000</v>
      </c>
    </row>
    <row r="430" spans="1:7" s="435" customFormat="1" ht="75" x14ac:dyDescent="0.3">
      <c r="A430" s="1848"/>
      <c r="B430" s="506" t="s">
        <v>1632</v>
      </c>
      <c r="C430" s="1438">
        <f>SUM(D430:E430)</f>
        <v>25000</v>
      </c>
      <c r="D430" s="565">
        <v>25000</v>
      </c>
      <c r="E430" s="892"/>
      <c r="F430" s="829">
        <f t="shared" si="25"/>
        <v>0</v>
      </c>
      <c r="G430" s="829">
        <f t="shared" si="23"/>
        <v>50000</v>
      </c>
    </row>
    <row r="431" spans="1:7" s="435" customFormat="1" ht="56.25" x14ac:dyDescent="0.3">
      <c r="A431" s="1848"/>
      <c r="B431" s="862" t="s">
        <v>1633</v>
      </c>
      <c r="C431" s="1457">
        <v>263800</v>
      </c>
      <c r="D431" s="1457"/>
      <c r="E431" s="1457">
        <v>263800</v>
      </c>
      <c r="F431" s="829">
        <f t="shared" si="25"/>
        <v>0</v>
      </c>
      <c r="G431" s="829">
        <f t="shared" si="23"/>
        <v>527600</v>
      </c>
    </row>
    <row r="432" spans="1:7" s="435" customFormat="1" ht="75" x14ac:dyDescent="0.3">
      <c r="A432" s="1848"/>
      <c r="B432" s="862" t="s">
        <v>2018</v>
      </c>
      <c r="C432" s="1627">
        <v>28956</v>
      </c>
      <c r="D432" s="1627">
        <v>28956</v>
      </c>
      <c r="E432" s="1627"/>
      <c r="F432" s="829"/>
      <c r="G432" s="829">
        <f t="shared" si="23"/>
        <v>57912</v>
      </c>
    </row>
    <row r="433" spans="1:7" s="435" customFormat="1" ht="56.25" x14ac:dyDescent="0.3">
      <c r="A433" s="1848"/>
      <c r="B433" s="1612" t="s">
        <v>2133</v>
      </c>
      <c r="C433" s="1638">
        <v>22703</v>
      </c>
      <c r="D433" s="1558">
        <v>22703</v>
      </c>
      <c r="E433" s="1558"/>
      <c r="F433" s="829"/>
      <c r="G433" s="829">
        <f t="shared" si="23"/>
        <v>45406</v>
      </c>
    </row>
    <row r="434" spans="1:7" s="435" customFormat="1" ht="56.25" x14ac:dyDescent="0.3">
      <c r="A434" s="1848"/>
      <c r="B434" s="1628" t="s">
        <v>2134</v>
      </c>
      <c r="C434" s="1625">
        <v>191044</v>
      </c>
      <c r="D434" s="1625"/>
      <c r="E434" s="1625">
        <v>191044</v>
      </c>
      <c r="F434" s="829"/>
      <c r="G434" s="829">
        <f t="shared" si="23"/>
        <v>382088</v>
      </c>
    </row>
    <row r="435" spans="1:7" s="435" customFormat="1" ht="56.25" x14ac:dyDescent="0.3">
      <c r="A435" s="1848"/>
      <c r="B435" s="1612" t="s">
        <v>2135</v>
      </c>
      <c r="C435" s="1625">
        <v>49000</v>
      </c>
      <c r="D435" s="1625">
        <v>49000</v>
      </c>
      <c r="E435" s="1625"/>
      <c r="F435" s="829"/>
      <c r="G435" s="829">
        <f t="shared" si="23"/>
        <v>98000</v>
      </c>
    </row>
    <row r="436" spans="1:7" s="435" customFormat="1" hidden="1" x14ac:dyDescent="0.3">
      <c r="A436" s="1848"/>
      <c r="B436" s="1119"/>
      <c r="C436" s="1040"/>
      <c r="D436" s="1040"/>
      <c r="E436" s="1455"/>
      <c r="F436" s="829"/>
      <c r="G436" s="829">
        <f t="shared" si="23"/>
        <v>0</v>
      </c>
    </row>
    <row r="437" spans="1:7" s="435" customFormat="1" hidden="1" x14ac:dyDescent="0.3">
      <c r="A437" s="1848"/>
      <c r="B437" s="1119"/>
      <c r="C437" s="1040"/>
      <c r="D437" s="1040"/>
      <c r="E437" s="1455"/>
      <c r="F437" s="829"/>
      <c r="G437" s="829">
        <f t="shared" si="23"/>
        <v>0</v>
      </c>
    </row>
    <row r="438" spans="1:7" s="435" customFormat="1" hidden="1" x14ac:dyDescent="0.3">
      <c r="A438" s="1848"/>
      <c r="B438" s="1119"/>
      <c r="C438" s="1040"/>
      <c r="D438" s="1040"/>
      <c r="E438" s="1455"/>
      <c r="F438" s="829"/>
      <c r="G438" s="829">
        <f t="shared" si="23"/>
        <v>0</v>
      </c>
    </row>
    <row r="439" spans="1:7" s="435" customFormat="1" hidden="1" x14ac:dyDescent="0.3">
      <c r="A439" s="1848"/>
      <c r="B439" s="1119"/>
      <c r="C439" s="1040"/>
      <c r="D439" s="1040"/>
      <c r="E439" s="1455"/>
      <c r="F439" s="829"/>
      <c r="G439" s="829">
        <f t="shared" si="23"/>
        <v>0</v>
      </c>
    </row>
    <row r="440" spans="1:7" s="435" customFormat="1" hidden="1" x14ac:dyDescent="0.3">
      <c r="A440" s="1848"/>
      <c r="B440" s="862"/>
      <c r="C440" s="1438">
        <f>SUM(D440:E440)</f>
        <v>0</v>
      </c>
      <c r="D440" s="1439"/>
      <c r="E440" s="1440"/>
      <c r="F440" s="829">
        <f t="shared" si="25"/>
        <v>0</v>
      </c>
      <c r="G440" s="829">
        <f t="shared" si="23"/>
        <v>0</v>
      </c>
    </row>
    <row r="441" spans="1:7" s="435" customFormat="1" hidden="1" x14ac:dyDescent="0.3">
      <c r="A441" s="1848"/>
      <c r="B441" s="862"/>
      <c r="C441" s="1438">
        <f>SUM(D441:E441)</f>
        <v>0</v>
      </c>
      <c r="D441" s="1439"/>
      <c r="E441" s="1440"/>
      <c r="F441" s="829">
        <f t="shared" si="25"/>
        <v>0</v>
      </c>
      <c r="G441" s="829">
        <f t="shared" si="23"/>
        <v>0</v>
      </c>
    </row>
    <row r="442" spans="1:7" s="435" customFormat="1" x14ac:dyDescent="0.3">
      <c r="A442" s="1848"/>
      <c r="B442" s="862" t="s">
        <v>740</v>
      </c>
      <c r="C442" s="1438">
        <f>SUM(C419:C441)</f>
        <v>1269703</v>
      </c>
      <c r="D442" s="1438">
        <f>SUM(D419:D441)</f>
        <v>338659</v>
      </c>
      <c r="E442" s="1438">
        <f>SUM(E419:E441)</f>
        <v>931044</v>
      </c>
      <c r="F442" s="829">
        <f t="shared" si="25"/>
        <v>0</v>
      </c>
      <c r="G442" s="829">
        <f t="shared" si="23"/>
        <v>2539406</v>
      </c>
    </row>
    <row r="443" spans="1:7" s="435" customFormat="1" ht="75" x14ac:dyDescent="0.3">
      <c r="A443" s="1848" t="s">
        <v>1096</v>
      </c>
      <c r="B443" s="507" t="s">
        <v>617</v>
      </c>
      <c r="C443" s="1460">
        <v>18100</v>
      </c>
      <c r="D443" s="1446">
        <v>18100</v>
      </c>
      <c r="E443" s="1460"/>
      <c r="F443" s="829">
        <f t="shared" si="25"/>
        <v>0</v>
      </c>
      <c r="G443" s="829">
        <f t="shared" si="23"/>
        <v>36200</v>
      </c>
    </row>
    <row r="444" spans="1:7" s="435" customFormat="1" ht="75" x14ac:dyDescent="0.3">
      <c r="A444" s="1848"/>
      <c r="B444" s="1118" t="s">
        <v>1337</v>
      </c>
      <c r="C444" s="1439">
        <v>100000</v>
      </c>
      <c r="D444" s="1439"/>
      <c r="E444" s="1439">
        <v>100000</v>
      </c>
      <c r="F444" s="829">
        <f t="shared" si="25"/>
        <v>0</v>
      </c>
      <c r="G444" s="829">
        <f t="shared" si="23"/>
        <v>200000</v>
      </c>
    </row>
    <row r="445" spans="1:7" s="435" customFormat="1" ht="37.5" x14ac:dyDescent="0.3">
      <c r="A445" s="1848"/>
      <c r="B445" s="1121" t="s">
        <v>1338</v>
      </c>
      <c r="C445" s="1633">
        <v>70000</v>
      </c>
      <c r="D445" s="1635">
        <f>70000-70000</f>
        <v>0</v>
      </c>
      <c r="E445" s="1635">
        <v>70000</v>
      </c>
      <c r="F445" s="829">
        <f t="shared" si="25"/>
        <v>0</v>
      </c>
      <c r="G445" s="829">
        <f t="shared" si="23"/>
        <v>140000</v>
      </c>
    </row>
    <row r="446" spans="1:7" s="435" customFormat="1" ht="37.5" x14ac:dyDescent="0.3">
      <c r="A446" s="1848"/>
      <c r="B446" s="1121" t="s">
        <v>1339</v>
      </c>
      <c r="C446" s="1633">
        <v>70000</v>
      </c>
      <c r="D446" s="1635">
        <f>70000-70000</f>
        <v>0</v>
      </c>
      <c r="E446" s="1635">
        <v>70000</v>
      </c>
      <c r="F446" s="829">
        <f t="shared" si="25"/>
        <v>0</v>
      </c>
      <c r="G446" s="829">
        <f t="shared" si="23"/>
        <v>140000</v>
      </c>
    </row>
    <row r="447" spans="1:7" s="435" customFormat="1" ht="93.75" x14ac:dyDescent="0.3">
      <c r="A447" s="1848"/>
      <c r="B447" s="506" t="s">
        <v>1893</v>
      </c>
      <c r="C447" s="1639">
        <v>500000</v>
      </c>
      <c r="D447" s="882"/>
      <c r="E447" s="883">
        <v>500000</v>
      </c>
      <c r="F447" s="829">
        <f t="shared" si="25"/>
        <v>0</v>
      </c>
      <c r="G447" s="829">
        <f t="shared" si="23"/>
        <v>1000000</v>
      </c>
    </row>
    <row r="448" spans="1:7" s="435" customFormat="1" ht="37.5" x14ac:dyDescent="0.3">
      <c r="A448" s="1848"/>
      <c r="B448" s="1121" t="s">
        <v>1340</v>
      </c>
      <c r="C448" s="1634">
        <v>500000</v>
      </c>
      <c r="D448" s="1622"/>
      <c r="E448" s="1440">
        <v>500000</v>
      </c>
      <c r="F448" s="829">
        <f t="shared" si="25"/>
        <v>0</v>
      </c>
      <c r="G448" s="829">
        <f t="shared" si="23"/>
        <v>1000000</v>
      </c>
    </row>
    <row r="449" spans="1:7" s="435" customFormat="1" ht="37.5" x14ac:dyDescent="0.3">
      <c r="A449" s="1848"/>
      <c r="B449" s="862" t="s">
        <v>1502</v>
      </c>
      <c r="C449" s="565">
        <v>10000</v>
      </c>
      <c r="D449" s="565">
        <v>10000</v>
      </c>
      <c r="E449" s="586"/>
      <c r="F449" s="829">
        <f t="shared" si="25"/>
        <v>0</v>
      </c>
      <c r="G449" s="829">
        <f t="shared" si="23"/>
        <v>20000</v>
      </c>
    </row>
    <row r="450" spans="1:7" s="435" customFormat="1" ht="131.25" x14ac:dyDescent="0.3">
      <c r="A450" s="1848"/>
      <c r="B450" s="506" t="s">
        <v>1634</v>
      </c>
      <c r="C450" s="1438">
        <f>SUM(D450:E450)</f>
        <v>80000</v>
      </c>
      <c r="D450" s="1438"/>
      <c r="E450" s="892">
        <v>80000</v>
      </c>
      <c r="F450" s="829">
        <f t="shared" si="25"/>
        <v>0</v>
      </c>
      <c r="G450" s="829">
        <f t="shared" si="23"/>
        <v>160000</v>
      </c>
    </row>
    <row r="451" spans="1:7" s="435" customFormat="1" ht="112.5" x14ac:dyDescent="0.3">
      <c r="A451" s="1848"/>
      <c r="B451" s="506" t="s">
        <v>1635</v>
      </c>
      <c r="C451" s="1438">
        <f>SUM(D451:E451)</f>
        <v>200000</v>
      </c>
      <c r="D451" s="1438"/>
      <c r="E451" s="892">
        <v>200000</v>
      </c>
      <c r="F451" s="829">
        <f t="shared" si="25"/>
        <v>0</v>
      </c>
      <c r="G451" s="829">
        <f t="shared" si="23"/>
        <v>400000</v>
      </c>
    </row>
    <row r="452" spans="1:7" s="435" customFormat="1" ht="56.25" x14ac:dyDescent="0.3">
      <c r="A452" s="1848"/>
      <c r="B452" s="862" t="s">
        <v>1636</v>
      </c>
      <c r="C452" s="1457">
        <v>200000</v>
      </c>
      <c r="D452" s="1457">
        <f>200000-200000</f>
        <v>0</v>
      </c>
      <c r="E452" s="1457">
        <v>200000</v>
      </c>
      <c r="F452" s="829">
        <f t="shared" si="25"/>
        <v>0</v>
      </c>
      <c r="G452" s="829">
        <f t="shared" si="23"/>
        <v>400000</v>
      </c>
    </row>
    <row r="453" spans="1:7" s="435" customFormat="1" ht="56.25" x14ac:dyDescent="0.3">
      <c r="A453" s="1848"/>
      <c r="B453" s="1623" t="s">
        <v>2136</v>
      </c>
      <c r="C453" s="1625">
        <v>25000</v>
      </c>
      <c r="D453" s="1625">
        <v>25000</v>
      </c>
      <c r="E453" s="1625"/>
      <c r="F453" s="829">
        <f t="shared" ref="F453:F476" si="26">E453+D453-C453</f>
        <v>0</v>
      </c>
      <c r="G453" s="829">
        <f t="shared" si="23"/>
        <v>50000</v>
      </c>
    </row>
    <row r="454" spans="1:7" s="435" customFormat="1" ht="56.25" x14ac:dyDescent="0.3">
      <c r="A454" s="1848"/>
      <c r="B454" s="1623" t="s">
        <v>2137</v>
      </c>
      <c r="C454" s="1631">
        <v>11000</v>
      </c>
      <c r="D454" s="1631">
        <v>11000</v>
      </c>
      <c r="E454" s="1625"/>
      <c r="F454" s="829">
        <f t="shared" si="26"/>
        <v>0</v>
      </c>
      <c r="G454" s="829">
        <f t="shared" si="23"/>
        <v>22000</v>
      </c>
    </row>
    <row r="455" spans="1:7" s="435" customFormat="1" ht="93.75" x14ac:dyDescent="0.3">
      <c r="A455" s="1848"/>
      <c r="B455" s="1628" t="s">
        <v>2138</v>
      </c>
      <c r="C455" s="1640">
        <v>49000</v>
      </c>
      <c r="D455" s="1625"/>
      <c r="E455" s="1625">
        <v>49000</v>
      </c>
      <c r="F455" s="829">
        <f t="shared" si="26"/>
        <v>0</v>
      </c>
      <c r="G455" s="829">
        <f t="shared" si="23"/>
        <v>98000</v>
      </c>
    </row>
    <row r="456" spans="1:7" s="435" customFormat="1" ht="56.25" x14ac:dyDescent="0.3">
      <c r="A456" s="1848"/>
      <c r="B456" s="1628" t="s">
        <v>2139</v>
      </c>
      <c r="C456" s="1640">
        <v>31000</v>
      </c>
      <c r="D456" s="1625"/>
      <c r="E456" s="1625">
        <v>31000</v>
      </c>
      <c r="F456" s="829">
        <f t="shared" si="26"/>
        <v>0</v>
      </c>
      <c r="G456" s="829">
        <f t="shared" si="23"/>
        <v>62000</v>
      </c>
    </row>
    <row r="457" spans="1:7" s="435" customFormat="1" ht="37.5" x14ac:dyDescent="0.3">
      <c r="A457" s="1848"/>
      <c r="B457" s="1628" t="s">
        <v>2140</v>
      </c>
      <c r="C457" s="1640">
        <v>26000</v>
      </c>
      <c r="D457" s="1625">
        <v>26000</v>
      </c>
      <c r="E457" s="1625"/>
      <c r="F457" s="829">
        <f t="shared" si="26"/>
        <v>0</v>
      </c>
      <c r="G457" s="829">
        <f t="shared" ref="G457:G520" si="27">SUM(C457:E457)</f>
        <v>52000</v>
      </c>
    </row>
    <row r="458" spans="1:7" s="435" customFormat="1" ht="37.5" x14ac:dyDescent="0.3">
      <c r="A458" s="1848"/>
      <c r="B458" s="1628" t="s">
        <v>2141</v>
      </c>
      <c r="C458" s="1640">
        <v>23000</v>
      </c>
      <c r="D458" s="1625"/>
      <c r="E458" s="1625">
        <v>23000</v>
      </c>
      <c r="F458" s="829">
        <f t="shared" si="26"/>
        <v>0</v>
      </c>
      <c r="G458" s="829">
        <f t="shared" si="27"/>
        <v>46000</v>
      </c>
    </row>
    <row r="459" spans="1:7" s="435" customFormat="1" ht="37.5" x14ac:dyDescent="0.3">
      <c r="A459" s="1848"/>
      <c r="B459" s="1628" t="s">
        <v>2142</v>
      </c>
      <c r="C459" s="1640">
        <v>25000</v>
      </c>
      <c r="D459" s="1625"/>
      <c r="E459" s="1625">
        <v>25000</v>
      </c>
      <c r="F459" s="829">
        <f t="shared" si="26"/>
        <v>0</v>
      </c>
      <c r="G459" s="829">
        <f t="shared" si="27"/>
        <v>50000</v>
      </c>
    </row>
    <row r="460" spans="1:7" s="435" customFormat="1" ht="37.5" x14ac:dyDescent="0.3">
      <c r="A460" s="1848"/>
      <c r="B460" s="1628" t="s">
        <v>2143</v>
      </c>
      <c r="C460" s="1640">
        <v>20000</v>
      </c>
      <c r="D460" s="1625">
        <v>20000</v>
      </c>
      <c r="E460" s="1625"/>
      <c r="F460" s="829">
        <f t="shared" si="26"/>
        <v>0</v>
      </c>
      <c r="G460" s="829">
        <f t="shared" si="27"/>
        <v>40000</v>
      </c>
    </row>
    <row r="461" spans="1:7" s="435" customFormat="1" ht="37.5" x14ac:dyDescent="0.3">
      <c r="A461" s="1848"/>
      <c r="B461" s="1628" t="s">
        <v>2144</v>
      </c>
      <c r="C461" s="1640">
        <v>16000</v>
      </c>
      <c r="D461" s="1625">
        <v>16000</v>
      </c>
      <c r="E461" s="1625"/>
      <c r="F461" s="829">
        <f t="shared" si="26"/>
        <v>0</v>
      </c>
      <c r="G461" s="829">
        <f t="shared" si="27"/>
        <v>32000</v>
      </c>
    </row>
    <row r="462" spans="1:7" s="435" customFormat="1" ht="56.25" x14ac:dyDescent="0.3">
      <c r="A462" s="1848"/>
      <c r="B462" s="1628" t="s">
        <v>2240</v>
      </c>
      <c r="C462" s="1625">
        <v>40000</v>
      </c>
      <c r="D462" s="1625">
        <v>40000</v>
      </c>
      <c r="E462" s="1625"/>
      <c r="F462" s="829">
        <f t="shared" si="26"/>
        <v>0</v>
      </c>
      <c r="G462" s="829">
        <f t="shared" si="27"/>
        <v>80000</v>
      </c>
    </row>
    <row r="463" spans="1:7" s="435" customFormat="1" ht="56.25" x14ac:dyDescent="0.3">
      <c r="A463" s="1848"/>
      <c r="B463" s="1628" t="s">
        <v>2237</v>
      </c>
      <c r="C463" s="1625">
        <v>40000</v>
      </c>
      <c r="D463" s="1625">
        <v>40000</v>
      </c>
      <c r="E463" s="1625"/>
      <c r="F463" s="829">
        <f t="shared" si="26"/>
        <v>0</v>
      </c>
      <c r="G463" s="829">
        <f t="shared" si="27"/>
        <v>80000</v>
      </c>
    </row>
    <row r="464" spans="1:7" s="435" customFormat="1" ht="56.25" x14ac:dyDescent="0.3">
      <c r="A464" s="1848"/>
      <c r="B464" s="1628" t="s">
        <v>2238</v>
      </c>
      <c r="C464" s="1625">
        <v>40000</v>
      </c>
      <c r="D464" s="1625">
        <v>40000</v>
      </c>
      <c r="E464" s="1625"/>
      <c r="F464" s="829">
        <f t="shared" si="26"/>
        <v>0</v>
      </c>
      <c r="G464" s="829">
        <f t="shared" si="27"/>
        <v>80000</v>
      </c>
    </row>
    <row r="465" spans="1:7" s="435" customFormat="1" ht="56.25" x14ac:dyDescent="0.3">
      <c r="A465" s="1848"/>
      <c r="B465" s="1628" t="s">
        <v>2239</v>
      </c>
      <c r="C465" s="1625">
        <v>43984</v>
      </c>
      <c r="D465" s="1625">
        <v>43984</v>
      </c>
      <c r="E465" s="1625"/>
      <c r="F465" s="829">
        <f t="shared" si="26"/>
        <v>0</v>
      </c>
      <c r="G465" s="829">
        <f t="shared" si="27"/>
        <v>87968</v>
      </c>
    </row>
    <row r="466" spans="1:7" s="435" customFormat="1" hidden="1" x14ac:dyDescent="0.3">
      <c r="A466" s="1848"/>
      <c r="B466" s="1427"/>
      <c r="C466" s="1461"/>
      <c r="D466" s="1443"/>
      <c r="E466" s="1443"/>
      <c r="F466" s="829">
        <f t="shared" si="26"/>
        <v>0</v>
      </c>
      <c r="G466" s="829">
        <f t="shared" si="27"/>
        <v>0</v>
      </c>
    </row>
    <row r="467" spans="1:7" s="435" customFormat="1" hidden="1" x14ac:dyDescent="0.3">
      <c r="A467" s="1848"/>
      <c r="B467" s="1427"/>
      <c r="C467" s="1461"/>
      <c r="D467" s="1443"/>
      <c r="E467" s="1443"/>
      <c r="F467" s="829">
        <f t="shared" si="26"/>
        <v>0</v>
      </c>
      <c r="G467" s="829">
        <f t="shared" si="27"/>
        <v>0</v>
      </c>
    </row>
    <row r="468" spans="1:7" s="435" customFormat="1" hidden="1" x14ac:dyDescent="0.3">
      <c r="A468" s="1848"/>
      <c r="B468" s="1427"/>
      <c r="C468" s="1461"/>
      <c r="D468" s="1443"/>
      <c r="E468" s="1443"/>
      <c r="F468" s="829">
        <f t="shared" si="26"/>
        <v>0</v>
      </c>
      <c r="G468" s="829">
        <f t="shared" si="27"/>
        <v>0</v>
      </c>
    </row>
    <row r="469" spans="1:7" s="435" customFormat="1" hidden="1" x14ac:dyDescent="0.3">
      <c r="A469" s="1848"/>
      <c r="B469" s="1427"/>
      <c r="C469" s="1461"/>
      <c r="D469" s="1443"/>
      <c r="E469" s="1443"/>
      <c r="F469" s="829">
        <f t="shared" si="26"/>
        <v>0</v>
      </c>
      <c r="G469" s="829">
        <f t="shared" si="27"/>
        <v>0</v>
      </c>
    </row>
    <row r="470" spans="1:7" s="435" customFormat="1" hidden="1" x14ac:dyDescent="0.3">
      <c r="A470" s="1848"/>
      <c r="B470" s="1427"/>
      <c r="C470" s="1461"/>
      <c r="D470" s="1443"/>
      <c r="E470" s="1443"/>
      <c r="F470" s="829">
        <f t="shared" si="26"/>
        <v>0</v>
      </c>
      <c r="G470" s="829">
        <f t="shared" si="27"/>
        <v>0</v>
      </c>
    </row>
    <row r="471" spans="1:7" s="435" customFormat="1" hidden="1" x14ac:dyDescent="0.3">
      <c r="A471" s="1848"/>
      <c r="B471" s="1427"/>
      <c r="C471" s="1461"/>
      <c r="D471" s="1443"/>
      <c r="E471" s="1443"/>
      <c r="F471" s="829">
        <f t="shared" si="26"/>
        <v>0</v>
      </c>
      <c r="G471" s="829">
        <f t="shared" si="27"/>
        <v>0</v>
      </c>
    </row>
    <row r="472" spans="1:7" s="435" customFormat="1" hidden="1" x14ac:dyDescent="0.3">
      <c r="A472" s="1848"/>
      <c r="B472" s="985"/>
      <c r="C472" s="1442"/>
      <c r="D472" s="1442"/>
      <c r="E472" s="1442"/>
      <c r="F472" s="829">
        <f t="shared" si="26"/>
        <v>0</v>
      </c>
      <c r="G472" s="829">
        <f t="shared" si="27"/>
        <v>0</v>
      </c>
    </row>
    <row r="473" spans="1:7" s="435" customFormat="1" ht="18" customHeight="1" x14ac:dyDescent="0.3">
      <c r="A473" s="1848"/>
      <c r="B473" s="862" t="s">
        <v>740</v>
      </c>
      <c r="C473" s="1438">
        <f>SUM(C443:C472)</f>
        <v>2138084</v>
      </c>
      <c r="D473" s="1438">
        <f>SUM(D443:D472)</f>
        <v>290084</v>
      </c>
      <c r="E473" s="1438">
        <f>SUM(E443:E472)</f>
        <v>1848000</v>
      </c>
      <c r="F473" s="829">
        <f t="shared" si="26"/>
        <v>0</v>
      </c>
      <c r="G473" s="829">
        <f t="shared" si="27"/>
        <v>4276168</v>
      </c>
    </row>
    <row r="474" spans="1:7" s="435" customFormat="1" ht="112.5" hidden="1" x14ac:dyDescent="0.3">
      <c r="A474" s="1848" t="s">
        <v>1097</v>
      </c>
      <c r="B474" s="506" t="s">
        <v>618</v>
      </c>
      <c r="C474" s="1446"/>
      <c r="D474" s="1446"/>
      <c r="E474" s="586"/>
      <c r="F474" s="829">
        <f t="shared" si="26"/>
        <v>0</v>
      </c>
      <c r="G474" s="829">
        <f t="shared" si="27"/>
        <v>0</v>
      </c>
    </row>
    <row r="475" spans="1:7" s="435" customFormat="1" ht="75" x14ac:dyDescent="0.3">
      <c r="A475" s="1848"/>
      <c r="B475" s="507" t="s">
        <v>617</v>
      </c>
      <c r="C475" s="565">
        <v>57700</v>
      </c>
      <c r="D475" s="565">
        <v>57700</v>
      </c>
      <c r="E475" s="586"/>
      <c r="F475" s="829">
        <f t="shared" si="26"/>
        <v>0</v>
      </c>
      <c r="G475" s="829">
        <f t="shared" si="27"/>
        <v>115400</v>
      </c>
    </row>
    <row r="476" spans="1:7" s="435" customFormat="1" ht="75" x14ac:dyDescent="0.3">
      <c r="A476" s="1848"/>
      <c r="B476" s="1118" t="s">
        <v>1342</v>
      </c>
      <c r="C476" s="1439">
        <v>100000</v>
      </c>
      <c r="D476" s="1439"/>
      <c r="E476" s="1439">
        <v>100000</v>
      </c>
      <c r="F476" s="829">
        <f t="shared" si="26"/>
        <v>0</v>
      </c>
      <c r="G476" s="829">
        <f t="shared" si="27"/>
        <v>200000</v>
      </c>
    </row>
    <row r="477" spans="1:7" s="435" customFormat="1" ht="168.75" x14ac:dyDescent="0.3">
      <c r="A477" s="1848"/>
      <c r="B477" s="506" t="s">
        <v>1551</v>
      </c>
      <c r="C477" s="1439">
        <f>50000+250000+250000+500000</f>
        <v>1050000</v>
      </c>
      <c r="D477" s="1439"/>
      <c r="E477" s="1439">
        <f>50000+250000+250000+500000</f>
        <v>1050000</v>
      </c>
      <c r="F477" s="829">
        <f t="shared" si="25"/>
        <v>0</v>
      </c>
      <c r="G477" s="829">
        <f t="shared" si="27"/>
        <v>2100000</v>
      </c>
    </row>
    <row r="478" spans="1:7" s="435" customFormat="1" ht="112.5" x14ac:dyDescent="0.3">
      <c r="A478" s="1848"/>
      <c r="B478" s="862" t="s">
        <v>1534</v>
      </c>
      <c r="C478" s="1438">
        <f>SUM(D478:E478)</f>
        <v>22260</v>
      </c>
      <c r="D478" s="1438">
        <v>22260</v>
      </c>
      <c r="E478" s="1440"/>
      <c r="F478" s="829">
        <f t="shared" si="25"/>
        <v>0</v>
      </c>
      <c r="G478" s="829">
        <f t="shared" si="27"/>
        <v>44520</v>
      </c>
    </row>
    <row r="479" spans="1:7" s="435" customFormat="1" ht="75" x14ac:dyDescent="0.3">
      <c r="A479" s="1848"/>
      <c r="B479" s="506" t="s">
        <v>1637</v>
      </c>
      <c r="C479" s="1438">
        <f>SUM(D479:E479)</f>
        <v>63800</v>
      </c>
      <c r="D479" s="565">
        <v>63800</v>
      </c>
      <c r="E479" s="892"/>
      <c r="F479" s="829">
        <f t="shared" si="25"/>
        <v>0</v>
      </c>
      <c r="G479" s="829">
        <f t="shared" si="27"/>
        <v>127600</v>
      </c>
    </row>
    <row r="480" spans="1:7" s="435" customFormat="1" ht="168.75" x14ac:dyDescent="0.3">
      <c r="A480" s="1848"/>
      <c r="B480" s="506" t="s">
        <v>2074</v>
      </c>
      <c r="C480" s="882">
        <f>D480+E480</f>
        <v>200000</v>
      </c>
      <c r="D480" s="882"/>
      <c r="E480" s="882">
        <v>200000</v>
      </c>
      <c r="F480" s="829">
        <f t="shared" si="25"/>
        <v>0</v>
      </c>
      <c r="G480" s="829">
        <f t="shared" si="27"/>
        <v>400000</v>
      </c>
    </row>
    <row r="481" spans="1:7" s="435" customFormat="1" ht="168.75" x14ac:dyDescent="0.3">
      <c r="A481" s="1848"/>
      <c r="B481" s="506" t="s">
        <v>2074</v>
      </c>
      <c r="C481" s="882">
        <f>D481+E481</f>
        <v>100000</v>
      </c>
      <c r="D481" s="882"/>
      <c r="E481" s="882">
        <v>100000</v>
      </c>
      <c r="F481" s="829">
        <f t="shared" si="25"/>
        <v>0</v>
      </c>
      <c r="G481" s="829">
        <f t="shared" si="27"/>
        <v>200000</v>
      </c>
    </row>
    <row r="482" spans="1:7" s="435" customFormat="1" ht="168.75" x14ac:dyDescent="0.3">
      <c r="A482" s="1848"/>
      <c r="B482" s="862" t="s">
        <v>2019</v>
      </c>
      <c r="C482" s="1627">
        <v>29000</v>
      </c>
      <c r="D482" s="1627"/>
      <c r="E482" s="1627">
        <v>29000</v>
      </c>
      <c r="F482" s="829"/>
      <c r="G482" s="829">
        <f t="shared" si="27"/>
        <v>58000</v>
      </c>
    </row>
    <row r="483" spans="1:7" s="435" customFormat="1" ht="168.75" x14ac:dyDescent="0.3">
      <c r="A483" s="1848"/>
      <c r="B483" s="1628" t="s">
        <v>2145</v>
      </c>
      <c r="C483" s="1625">
        <v>101044</v>
      </c>
      <c r="D483" s="1625"/>
      <c r="E483" s="1625">
        <v>101044</v>
      </c>
      <c r="F483" s="829"/>
      <c r="G483" s="829">
        <f t="shared" si="27"/>
        <v>202088</v>
      </c>
    </row>
    <row r="484" spans="1:7" s="435" customFormat="1" hidden="1" x14ac:dyDescent="0.3">
      <c r="A484" s="1848"/>
      <c r="B484" s="965"/>
      <c r="C484" s="1444"/>
      <c r="D484" s="1444"/>
      <c r="E484" s="1445"/>
      <c r="F484" s="829"/>
      <c r="G484" s="829">
        <f t="shared" si="27"/>
        <v>0</v>
      </c>
    </row>
    <row r="485" spans="1:7" s="435" customFormat="1" hidden="1" x14ac:dyDescent="0.3">
      <c r="A485" s="1848"/>
      <c r="B485" s="965"/>
      <c r="C485" s="1444"/>
      <c r="D485" s="1444"/>
      <c r="E485" s="1445"/>
      <c r="F485" s="829"/>
      <c r="G485" s="829">
        <f t="shared" si="27"/>
        <v>0</v>
      </c>
    </row>
    <row r="486" spans="1:7" s="435" customFormat="1" ht="18" hidden="1" customHeight="1" x14ac:dyDescent="0.3">
      <c r="A486" s="1848"/>
      <c r="B486" s="862"/>
      <c r="C486" s="1438">
        <f>SUM(D486:E486)</f>
        <v>0</v>
      </c>
      <c r="D486" s="1439"/>
      <c r="E486" s="1440"/>
      <c r="F486" s="829">
        <f t="shared" si="25"/>
        <v>0</v>
      </c>
      <c r="G486" s="829">
        <f t="shared" si="27"/>
        <v>0</v>
      </c>
    </row>
    <row r="487" spans="1:7" s="435" customFormat="1" ht="18" hidden="1" customHeight="1" x14ac:dyDescent="0.3">
      <c r="A487" s="1848"/>
      <c r="B487" s="862"/>
      <c r="C487" s="1438">
        <f>SUM(D487:E487)</f>
        <v>0</v>
      </c>
      <c r="D487" s="1439"/>
      <c r="E487" s="1440"/>
      <c r="F487" s="829">
        <f t="shared" si="25"/>
        <v>0</v>
      </c>
      <c r="G487" s="829">
        <f t="shared" si="27"/>
        <v>0</v>
      </c>
    </row>
    <row r="488" spans="1:7" x14ac:dyDescent="0.3">
      <c r="A488" s="1848"/>
      <c r="B488" s="862" t="s">
        <v>740</v>
      </c>
      <c r="C488" s="1438">
        <f>SUM(C474:C487)</f>
        <v>1723804</v>
      </c>
      <c r="D488" s="1438">
        <f>SUM(D474:D487)</f>
        <v>143760</v>
      </c>
      <c r="E488" s="1438">
        <f>SUM(E474:E487)</f>
        <v>1580044</v>
      </c>
      <c r="F488" s="829">
        <f t="shared" si="25"/>
        <v>0</v>
      </c>
      <c r="G488" s="829">
        <f t="shared" si="27"/>
        <v>3447608</v>
      </c>
    </row>
    <row r="489" spans="1:7" ht="75" x14ac:dyDescent="0.3">
      <c r="A489" s="1848" t="s">
        <v>1098</v>
      </c>
      <c r="B489" s="507" t="s">
        <v>617</v>
      </c>
      <c r="C489" s="1457">
        <v>52000</v>
      </c>
      <c r="D489" s="1457">
        <v>52000</v>
      </c>
      <c r="E489" s="1117"/>
      <c r="F489" s="829">
        <f t="shared" si="25"/>
        <v>0</v>
      </c>
      <c r="G489" s="829">
        <f t="shared" si="27"/>
        <v>104000</v>
      </c>
    </row>
    <row r="490" spans="1:7" ht="56.25" x14ac:dyDescent="0.3">
      <c r="A490" s="1848"/>
      <c r="B490" s="1118" t="s">
        <v>1355</v>
      </c>
      <c r="C490" s="1439">
        <v>25000</v>
      </c>
      <c r="D490" s="1439"/>
      <c r="E490" s="1439">
        <v>25000</v>
      </c>
      <c r="F490" s="829">
        <f t="shared" si="25"/>
        <v>0</v>
      </c>
      <c r="G490" s="829">
        <f t="shared" si="27"/>
        <v>50000</v>
      </c>
    </row>
    <row r="491" spans="1:7" ht="75" x14ac:dyDescent="0.3">
      <c r="A491" s="1848"/>
      <c r="B491" s="1121" t="s">
        <v>1356</v>
      </c>
      <c r="C491" s="1622">
        <v>50000</v>
      </c>
      <c r="D491" s="1622"/>
      <c r="E491" s="1440">
        <v>50000</v>
      </c>
      <c r="F491" s="829">
        <f t="shared" si="25"/>
        <v>0</v>
      </c>
      <c r="G491" s="829">
        <f t="shared" si="27"/>
        <v>100000</v>
      </c>
    </row>
    <row r="492" spans="1:7" ht="112.5" x14ac:dyDescent="0.3">
      <c r="A492" s="1848"/>
      <c r="B492" s="862" t="s">
        <v>1534</v>
      </c>
      <c r="C492" s="1438">
        <f>SUM(D492:E492)</f>
        <v>11130</v>
      </c>
      <c r="D492" s="1438">
        <v>11130</v>
      </c>
      <c r="E492" s="1440"/>
      <c r="F492" s="829">
        <f t="shared" si="25"/>
        <v>0</v>
      </c>
      <c r="G492" s="829">
        <f t="shared" si="27"/>
        <v>22260</v>
      </c>
    </row>
    <row r="493" spans="1:7" s="435" customFormat="1" ht="56.25" x14ac:dyDescent="0.3">
      <c r="A493" s="1848"/>
      <c r="B493" s="1623" t="s">
        <v>2146</v>
      </c>
      <c r="C493" s="1625">
        <v>36200</v>
      </c>
      <c r="D493" s="1625">
        <v>6200</v>
      </c>
      <c r="E493" s="1625">
        <v>30000</v>
      </c>
      <c r="F493" s="829">
        <f t="shared" si="25"/>
        <v>0</v>
      </c>
      <c r="G493" s="829">
        <f t="shared" si="27"/>
        <v>72400</v>
      </c>
    </row>
    <row r="494" spans="1:7" s="435" customFormat="1" ht="112.5" x14ac:dyDescent="0.3">
      <c r="A494" s="1848"/>
      <c r="B494" s="1628" t="s">
        <v>2147</v>
      </c>
      <c r="C494" s="1640">
        <v>30000</v>
      </c>
      <c r="D494" s="1625"/>
      <c r="E494" s="1625">
        <v>30000</v>
      </c>
      <c r="F494" s="829">
        <f t="shared" si="25"/>
        <v>0</v>
      </c>
      <c r="G494" s="829">
        <f t="shared" si="27"/>
        <v>60000</v>
      </c>
    </row>
    <row r="495" spans="1:7" s="435" customFormat="1" hidden="1" x14ac:dyDescent="0.3">
      <c r="A495" s="1848"/>
      <c r="B495" s="862"/>
      <c r="C495" s="1438">
        <f>SUM(D495:E495)</f>
        <v>0</v>
      </c>
      <c r="D495" s="1439"/>
      <c r="E495" s="1440"/>
      <c r="F495" s="829">
        <f t="shared" si="25"/>
        <v>0</v>
      </c>
      <c r="G495" s="829">
        <f t="shared" si="27"/>
        <v>0</v>
      </c>
    </row>
    <row r="496" spans="1:7" s="435" customFormat="1" hidden="1" x14ac:dyDescent="0.3">
      <c r="A496" s="1848"/>
      <c r="B496" s="862"/>
      <c r="C496" s="1438">
        <f>SUM(D496:E496)</f>
        <v>0</v>
      </c>
      <c r="D496" s="1439"/>
      <c r="E496" s="1440"/>
      <c r="F496" s="829">
        <f t="shared" si="25"/>
        <v>0</v>
      </c>
      <c r="G496" s="829">
        <f t="shared" si="27"/>
        <v>0</v>
      </c>
    </row>
    <row r="497" spans="1:7" s="435" customFormat="1" hidden="1" x14ac:dyDescent="0.3">
      <c r="A497" s="1848"/>
      <c r="B497" s="862"/>
      <c r="C497" s="1438">
        <f>SUM(D497:E497)</f>
        <v>0</v>
      </c>
      <c r="D497" s="1439"/>
      <c r="E497" s="1440"/>
      <c r="F497" s="829">
        <f t="shared" si="25"/>
        <v>0</v>
      </c>
      <c r="G497" s="829">
        <f t="shared" si="27"/>
        <v>0</v>
      </c>
    </row>
    <row r="498" spans="1:7" s="435" customFormat="1" hidden="1" x14ac:dyDescent="0.3">
      <c r="A498" s="1848"/>
      <c r="B498" s="862"/>
      <c r="C498" s="1438">
        <f>SUM(D498:E498)</f>
        <v>0</v>
      </c>
      <c r="D498" s="1439"/>
      <c r="E498" s="1440"/>
      <c r="F498" s="829">
        <f t="shared" si="25"/>
        <v>0</v>
      </c>
      <c r="G498" s="829">
        <f t="shared" si="27"/>
        <v>0</v>
      </c>
    </row>
    <row r="499" spans="1:7" s="435" customFormat="1" x14ac:dyDescent="0.3">
      <c r="A499" s="1848"/>
      <c r="B499" s="862" t="s">
        <v>740</v>
      </c>
      <c r="C499" s="1438">
        <f>SUM(C489:C498)</f>
        <v>204330</v>
      </c>
      <c r="D499" s="1438">
        <f>SUM(D489:D498)</f>
        <v>69330</v>
      </c>
      <c r="E499" s="1438">
        <f>SUM(E489:E498)</f>
        <v>135000</v>
      </c>
      <c r="F499" s="829">
        <f t="shared" si="25"/>
        <v>0</v>
      </c>
      <c r="G499" s="829">
        <f t="shared" si="27"/>
        <v>408660</v>
      </c>
    </row>
    <row r="500" spans="1:7" s="435" customFormat="1" ht="75" x14ac:dyDescent="0.3">
      <c r="A500" s="1848" t="s">
        <v>1099</v>
      </c>
      <c r="B500" s="507" t="s">
        <v>617</v>
      </c>
      <c r="C500" s="565">
        <v>197700</v>
      </c>
      <c r="D500" s="565">
        <v>197700</v>
      </c>
      <c r="E500" s="586"/>
      <c r="F500" s="829">
        <f t="shared" si="25"/>
        <v>0</v>
      </c>
      <c r="G500" s="829">
        <f t="shared" si="27"/>
        <v>395400</v>
      </c>
    </row>
    <row r="501" spans="1:7" s="435" customFormat="1" ht="56.25" x14ac:dyDescent="0.3">
      <c r="A501" s="1848"/>
      <c r="B501" s="506" t="s">
        <v>1553</v>
      </c>
      <c r="C501" s="565">
        <v>100000</v>
      </c>
      <c r="D501" s="565">
        <v>100000</v>
      </c>
      <c r="E501" s="586"/>
      <c r="F501" s="829">
        <f t="shared" si="25"/>
        <v>0</v>
      </c>
      <c r="G501" s="829">
        <f t="shared" si="27"/>
        <v>200000</v>
      </c>
    </row>
    <row r="502" spans="1:7" s="435" customFormat="1" ht="56.25" x14ac:dyDescent="0.3">
      <c r="A502" s="1848"/>
      <c r="B502" s="1118" t="s">
        <v>1246</v>
      </c>
      <c r="C502" s="1439">
        <v>200000</v>
      </c>
      <c r="D502" s="1439">
        <v>200000</v>
      </c>
      <c r="E502" s="1439"/>
      <c r="F502" s="829">
        <f t="shared" si="25"/>
        <v>0</v>
      </c>
      <c r="G502" s="829">
        <f t="shared" si="27"/>
        <v>400000</v>
      </c>
    </row>
    <row r="503" spans="1:7" s="435" customFormat="1" ht="93.75" x14ac:dyDescent="0.3">
      <c r="A503" s="1848"/>
      <c r="B503" s="506" t="s">
        <v>1935</v>
      </c>
      <c r="C503" s="882">
        <f>D503+E503</f>
        <v>40000</v>
      </c>
      <c r="D503" s="882">
        <v>12816</v>
      </c>
      <c r="E503" s="882">
        <v>27184</v>
      </c>
      <c r="F503" s="829">
        <f t="shared" si="25"/>
        <v>0</v>
      </c>
      <c r="G503" s="829">
        <f t="shared" si="27"/>
        <v>80000</v>
      </c>
    </row>
    <row r="504" spans="1:7" s="435" customFormat="1" ht="37.5" x14ac:dyDescent="0.3">
      <c r="A504" s="1848"/>
      <c r="B504" s="1121" t="s">
        <v>1247</v>
      </c>
      <c r="C504" s="1622">
        <v>300000</v>
      </c>
      <c r="D504" s="1622"/>
      <c r="E504" s="1440">
        <v>300000</v>
      </c>
      <c r="F504" s="829">
        <f t="shared" si="25"/>
        <v>0</v>
      </c>
      <c r="G504" s="829">
        <f t="shared" si="27"/>
        <v>600000</v>
      </c>
    </row>
    <row r="505" spans="1:7" s="435" customFormat="1" ht="56.25" x14ac:dyDescent="0.3">
      <c r="A505" s="1848"/>
      <c r="B505" s="1121" t="s">
        <v>1248</v>
      </c>
      <c r="C505" s="1622">
        <v>80000</v>
      </c>
      <c r="D505" s="1622"/>
      <c r="E505" s="1440">
        <v>80000</v>
      </c>
      <c r="F505" s="829">
        <f t="shared" si="25"/>
        <v>0</v>
      </c>
      <c r="G505" s="829">
        <f t="shared" si="27"/>
        <v>160000</v>
      </c>
    </row>
    <row r="506" spans="1:7" s="435" customFormat="1" ht="37.5" x14ac:dyDescent="0.3">
      <c r="A506" s="1848"/>
      <c r="B506" s="1121" t="s">
        <v>1249</v>
      </c>
      <c r="C506" s="1622">
        <v>100000</v>
      </c>
      <c r="D506" s="1622">
        <v>100000</v>
      </c>
      <c r="E506" s="1440"/>
      <c r="F506" s="829">
        <f t="shared" si="25"/>
        <v>0</v>
      </c>
      <c r="G506" s="829">
        <f t="shared" si="27"/>
        <v>200000</v>
      </c>
    </row>
    <row r="507" spans="1:7" s="435" customFormat="1" ht="131.25" x14ac:dyDescent="0.3">
      <c r="A507" s="1848"/>
      <c r="B507" s="1121" t="s">
        <v>1250</v>
      </c>
      <c r="C507" s="1622">
        <v>20000</v>
      </c>
      <c r="D507" s="1622"/>
      <c r="E507" s="1440">
        <v>20000</v>
      </c>
      <c r="F507" s="829">
        <f t="shared" si="25"/>
        <v>0</v>
      </c>
      <c r="G507" s="829">
        <f t="shared" si="27"/>
        <v>40000</v>
      </c>
    </row>
    <row r="508" spans="1:7" s="435" customFormat="1" ht="37.5" x14ac:dyDescent="0.3">
      <c r="A508" s="1848"/>
      <c r="B508" s="506" t="s">
        <v>1503</v>
      </c>
      <c r="C508" s="565">
        <v>36000</v>
      </c>
      <c r="D508" s="565">
        <v>36000</v>
      </c>
      <c r="E508" s="586"/>
      <c r="F508" s="829">
        <f t="shared" si="25"/>
        <v>0</v>
      </c>
      <c r="G508" s="829">
        <f t="shared" si="27"/>
        <v>72000</v>
      </c>
    </row>
    <row r="509" spans="1:7" s="435" customFormat="1" ht="112.5" x14ac:dyDescent="0.3">
      <c r="A509" s="1848"/>
      <c r="B509" s="862" t="s">
        <v>1534</v>
      </c>
      <c r="C509" s="1438">
        <f>SUM(D509:E509)</f>
        <v>66780</v>
      </c>
      <c r="D509" s="1438">
        <v>66780</v>
      </c>
      <c r="E509" s="1440"/>
      <c r="F509" s="829">
        <f t="shared" si="25"/>
        <v>0</v>
      </c>
      <c r="G509" s="829">
        <f t="shared" si="27"/>
        <v>133560</v>
      </c>
    </row>
    <row r="510" spans="1:7" s="435" customFormat="1" ht="56.25" x14ac:dyDescent="0.3">
      <c r="A510" s="1848"/>
      <c r="B510" s="506" t="s">
        <v>1638</v>
      </c>
      <c r="C510" s="1457">
        <v>100000</v>
      </c>
      <c r="D510" s="1457">
        <v>100000</v>
      </c>
      <c r="E510" s="1457"/>
      <c r="F510" s="829">
        <f t="shared" si="25"/>
        <v>0</v>
      </c>
      <c r="G510" s="829">
        <f t="shared" si="27"/>
        <v>200000</v>
      </c>
    </row>
    <row r="511" spans="1:7" s="435" customFormat="1" ht="112.5" x14ac:dyDescent="0.3">
      <c r="A511" s="1848"/>
      <c r="B511" s="1530" t="s">
        <v>1990</v>
      </c>
      <c r="C511" s="1457">
        <f>463800-120000</f>
        <v>343800</v>
      </c>
      <c r="D511" s="1457"/>
      <c r="E511" s="1457">
        <f>463800-120000</f>
        <v>343800</v>
      </c>
      <c r="F511" s="829">
        <f t="shared" si="25"/>
        <v>0</v>
      </c>
      <c r="G511" s="829">
        <f t="shared" si="27"/>
        <v>687600</v>
      </c>
    </row>
    <row r="512" spans="1:7" s="435" customFormat="1" ht="75" x14ac:dyDescent="0.3">
      <c r="A512" s="1848"/>
      <c r="B512" s="506" t="s">
        <v>2079</v>
      </c>
      <c r="C512" s="565">
        <v>120000</v>
      </c>
      <c r="D512" s="565"/>
      <c r="E512" s="586">
        <v>120000</v>
      </c>
      <c r="F512" s="829">
        <f t="shared" ref="F512:F525" si="28">E512+D512-C512</f>
        <v>0</v>
      </c>
      <c r="G512" s="829">
        <f t="shared" si="27"/>
        <v>240000</v>
      </c>
    </row>
    <row r="513" spans="1:7" s="435" customFormat="1" ht="56.25" x14ac:dyDescent="0.3">
      <c r="A513" s="1848"/>
      <c r="B513" s="506" t="s">
        <v>2004</v>
      </c>
      <c r="C513" s="882">
        <v>150000</v>
      </c>
      <c r="D513" s="882">
        <v>150000</v>
      </c>
      <c r="E513" s="883"/>
      <c r="F513" s="829">
        <f t="shared" si="28"/>
        <v>0</v>
      </c>
      <c r="G513" s="829">
        <f t="shared" si="27"/>
        <v>300000</v>
      </c>
    </row>
    <row r="514" spans="1:7" s="435" customFormat="1" ht="112.5" x14ac:dyDescent="0.3">
      <c r="A514" s="1848"/>
      <c r="B514" s="506" t="s">
        <v>2020</v>
      </c>
      <c r="C514" s="1631">
        <v>108956</v>
      </c>
      <c r="D514" s="1631"/>
      <c r="E514" s="1631">
        <v>108956</v>
      </c>
      <c r="F514" s="829">
        <f t="shared" si="28"/>
        <v>0</v>
      </c>
      <c r="G514" s="829">
        <f t="shared" si="27"/>
        <v>217912</v>
      </c>
    </row>
    <row r="515" spans="1:7" s="435" customFormat="1" ht="112.5" x14ac:dyDescent="0.3">
      <c r="A515" s="1848"/>
      <c r="B515" s="1623" t="s">
        <v>2148</v>
      </c>
      <c r="C515" s="1624">
        <v>91044</v>
      </c>
      <c r="D515" s="1625"/>
      <c r="E515" s="1625">
        <v>91044</v>
      </c>
      <c r="F515" s="829">
        <f t="shared" si="28"/>
        <v>0</v>
      </c>
      <c r="G515" s="829">
        <f t="shared" si="27"/>
        <v>182088</v>
      </c>
    </row>
    <row r="516" spans="1:7" s="435" customFormat="1" ht="75" x14ac:dyDescent="0.3">
      <c r="A516" s="1848"/>
      <c r="B516" s="1623" t="s">
        <v>2149</v>
      </c>
      <c r="C516" s="1625">
        <v>191000</v>
      </c>
      <c r="D516" s="1625">
        <v>191000</v>
      </c>
      <c r="E516" s="1625"/>
      <c r="F516" s="829">
        <f t="shared" si="28"/>
        <v>0</v>
      </c>
      <c r="G516" s="829">
        <f t="shared" si="27"/>
        <v>382000</v>
      </c>
    </row>
    <row r="517" spans="1:7" s="435" customFormat="1" hidden="1" x14ac:dyDescent="0.3">
      <c r="A517" s="1848"/>
      <c r="B517" s="1396"/>
      <c r="C517" s="1462"/>
      <c r="D517" s="1462"/>
      <c r="E517" s="1462"/>
      <c r="F517" s="829">
        <f t="shared" si="28"/>
        <v>0</v>
      </c>
      <c r="G517" s="829">
        <f t="shared" si="27"/>
        <v>0</v>
      </c>
    </row>
    <row r="518" spans="1:7" s="435" customFormat="1" hidden="1" x14ac:dyDescent="0.3">
      <c r="A518" s="1848"/>
      <c r="B518" s="1396"/>
      <c r="C518" s="1462"/>
      <c r="D518" s="1462"/>
      <c r="E518" s="1462"/>
      <c r="F518" s="829">
        <f t="shared" si="28"/>
        <v>0</v>
      </c>
      <c r="G518" s="829">
        <f t="shared" si="27"/>
        <v>0</v>
      </c>
    </row>
    <row r="519" spans="1:7" s="435" customFormat="1" hidden="1" x14ac:dyDescent="0.3">
      <c r="A519" s="1848"/>
      <c r="B519" s="1396"/>
      <c r="C519" s="1462"/>
      <c r="D519" s="1462"/>
      <c r="E519" s="1462"/>
      <c r="F519" s="829">
        <f t="shared" si="28"/>
        <v>0</v>
      </c>
      <c r="G519" s="829">
        <f t="shared" si="27"/>
        <v>0</v>
      </c>
    </row>
    <row r="520" spans="1:7" s="435" customFormat="1" hidden="1" x14ac:dyDescent="0.3">
      <c r="A520" s="1848"/>
      <c r="B520" s="1396"/>
      <c r="C520" s="1462"/>
      <c r="D520" s="1462"/>
      <c r="E520" s="1462"/>
      <c r="F520" s="829">
        <f t="shared" si="28"/>
        <v>0</v>
      </c>
      <c r="G520" s="829">
        <f t="shared" si="27"/>
        <v>0</v>
      </c>
    </row>
    <row r="521" spans="1:7" s="435" customFormat="1" hidden="1" x14ac:dyDescent="0.3">
      <c r="A521" s="1848"/>
      <c r="B521" s="965"/>
      <c r="C521" s="1444"/>
      <c r="D521" s="1444"/>
      <c r="E521" s="1445"/>
      <c r="F521" s="829">
        <f t="shared" si="28"/>
        <v>0</v>
      </c>
      <c r="G521" s="829">
        <f t="shared" ref="G521:G584" si="29">SUM(C521:E521)</f>
        <v>0</v>
      </c>
    </row>
    <row r="522" spans="1:7" s="435" customFormat="1" hidden="1" x14ac:dyDescent="0.3">
      <c r="A522" s="1848"/>
      <c r="B522" s="965"/>
      <c r="C522" s="1444"/>
      <c r="D522" s="1444"/>
      <c r="E522" s="1445"/>
      <c r="F522" s="829">
        <f t="shared" si="28"/>
        <v>0</v>
      </c>
      <c r="G522" s="829">
        <f t="shared" si="29"/>
        <v>0</v>
      </c>
    </row>
    <row r="523" spans="1:7" s="435" customFormat="1" x14ac:dyDescent="0.3">
      <c r="A523" s="1848"/>
      <c r="B523" s="862" t="s">
        <v>740</v>
      </c>
      <c r="C523" s="1438">
        <f>SUM(C500:C522)</f>
        <v>2245280</v>
      </c>
      <c r="D523" s="1438">
        <f>SUM(D500:D522)</f>
        <v>1154296</v>
      </c>
      <c r="E523" s="1438">
        <f>SUM(E500:E522)</f>
        <v>1090984</v>
      </c>
      <c r="F523" s="829">
        <f t="shared" si="28"/>
        <v>0</v>
      </c>
      <c r="G523" s="829">
        <f t="shared" si="29"/>
        <v>4490560</v>
      </c>
    </row>
    <row r="524" spans="1:7" s="435" customFormat="1" ht="112.5" hidden="1" x14ac:dyDescent="0.3">
      <c r="A524" s="1848" t="s">
        <v>1100</v>
      </c>
      <c r="B524" s="506" t="s">
        <v>618</v>
      </c>
      <c r="C524" s="1446"/>
      <c r="D524" s="1446"/>
      <c r="E524" s="586"/>
      <c r="F524" s="829">
        <f t="shared" si="28"/>
        <v>0</v>
      </c>
      <c r="G524" s="829">
        <f t="shared" si="29"/>
        <v>0</v>
      </c>
    </row>
    <row r="525" spans="1:7" s="435" customFormat="1" ht="75" x14ac:dyDescent="0.3">
      <c r="A525" s="1848"/>
      <c r="B525" s="507" t="s">
        <v>617</v>
      </c>
      <c r="C525" s="586">
        <v>10200</v>
      </c>
      <c r="D525" s="586">
        <v>10200</v>
      </c>
      <c r="E525" s="586"/>
      <c r="F525" s="829">
        <f t="shared" si="28"/>
        <v>0</v>
      </c>
      <c r="G525" s="829">
        <f t="shared" si="29"/>
        <v>20400</v>
      </c>
    </row>
    <row r="526" spans="1:7" s="435" customFormat="1" ht="75" x14ac:dyDescent="0.3">
      <c r="A526" s="1848"/>
      <c r="B526" s="1118" t="s">
        <v>1285</v>
      </c>
      <c r="C526" s="1439">
        <v>100000</v>
      </c>
      <c r="D526" s="1439"/>
      <c r="E526" s="1439">
        <v>100000</v>
      </c>
      <c r="F526" s="829">
        <f t="shared" ref="F526:F544" si="30">E526+D526-C526</f>
        <v>0</v>
      </c>
      <c r="G526" s="829">
        <f t="shared" si="29"/>
        <v>200000</v>
      </c>
    </row>
    <row r="527" spans="1:7" s="435" customFormat="1" ht="75" x14ac:dyDescent="0.3">
      <c r="A527" s="1848"/>
      <c r="B527" s="1118" t="s">
        <v>1286</v>
      </c>
      <c r="C527" s="1439">
        <v>300000</v>
      </c>
      <c r="D527" s="1439"/>
      <c r="E527" s="1439">
        <v>300000</v>
      </c>
      <c r="F527" s="829">
        <f t="shared" si="30"/>
        <v>0</v>
      </c>
      <c r="G527" s="829">
        <f t="shared" si="29"/>
        <v>600000</v>
      </c>
    </row>
    <row r="528" spans="1:7" s="435" customFormat="1" ht="37.5" x14ac:dyDescent="0.3">
      <c r="A528" s="1848"/>
      <c r="B528" s="1118" t="s">
        <v>1287</v>
      </c>
      <c r="C528" s="1439">
        <v>200000</v>
      </c>
      <c r="D528" s="1439"/>
      <c r="E528" s="1439">
        <v>200000</v>
      </c>
      <c r="F528" s="829">
        <f t="shared" si="30"/>
        <v>0</v>
      </c>
      <c r="G528" s="829">
        <f t="shared" si="29"/>
        <v>400000</v>
      </c>
    </row>
    <row r="529" spans="1:7" s="435" customFormat="1" ht="75" x14ac:dyDescent="0.3">
      <c r="A529" s="1848"/>
      <c r="B529" s="1118" t="s">
        <v>1288</v>
      </c>
      <c r="C529" s="1439">
        <f>320000-69120</f>
        <v>250880</v>
      </c>
      <c r="D529" s="1439"/>
      <c r="E529" s="1439">
        <f>320000-69120</f>
        <v>250880</v>
      </c>
      <c r="F529" s="829">
        <f t="shared" si="30"/>
        <v>0</v>
      </c>
      <c r="G529" s="829">
        <f t="shared" si="29"/>
        <v>501760</v>
      </c>
    </row>
    <row r="530" spans="1:7" s="435" customFormat="1" ht="37.5" x14ac:dyDescent="0.3">
      <c r="A530" s="1848"/>
      <c r="B530" s="506" t="s">
        <v>1971</v>
      </c>
      <c r="C530" s="565">
        <v>69120</v>
      </c>
      <c r="D530" s="565"/>
      <c r="E530" s="565">
        <v>69120</v>
      </c>
      <c r="F530" s="829">
        <f>E530+D530-C530</f>
        <v>0</v>
      </c>
      <c r="G530" s="829">
        <f t="shared" si="29"/>
        <v>138240</v>
      </c>
    </row>
    <row r="531" spans="1:7" s="435" customFormat="1" ht="75" x14ac:dyDescent="0.3">
      <c r="A531" s="1848"/>
      <c r="B531" s="1121" t="s">
        <v>1289</v>
      </c>
      <c r="C531" s="1633">
        <v>52081</v>
      </c>
      <c r="D531" s="1622"/>
      <c r="E531" s="1440">
        <v>52081</v>
      </c>
      <c r="F531" s="829">
        <f t="shared" si="30"/>
        <v>0</v>
      </c>
      <c r="G531" s="829">
        <f t="shared" si="29"/>
        <v>104162</v>
      </c>
    </row>
    <row r="532" spans="1:7" s="435" customFormat="1" ht="75" x14ac:dyDescent="0.3">
      <c r="A532" s="1848"/>
      <c r="B532" s="1121" t="s">
        <v>1290</v>
      </c>
      <c r="C532" s="1633">
        <v>175919</v>
      </c>
      <c r="D532" s="1622"/>
      <c r="E532" s="1440">
        <v>175919</v>
      </c>
      <c r="F532" s="829">
        <f t="shared" si="30"/>
        <v>0</v>
      </c>
      <c r="G532" s="829">
        <f t="shared" si="29"/>
        <v>351838</v>
      </c>
    </row>
    <row r="533" spans="1:7" s="435" customFormat="1" ht="75" x14ac:dyDescent="0.3">
      <c r="A533" s="1848"/>
      <c r="B533" s="506" t="s">
        <v>1884</v>
      </c>
      <c r="C533" s="882">
        <v>12000</v>
      </c>
      <c r="D533" s="882">
        <v>12000</v>
      </c>
      <c r="E533" s="883"/>
      <c r="F533" s="829">
        <f t="shared" si="30"/>
        <v>0</v>
      </c>
      <c r="G533" s="829">
        <f t="shared" si="29"/>
        <v>24000</v>
      </c>
    </row>
    <row r="534" spans="1:7" s="435" customFormat="1" ht="93.75" x14ac:dyDescent="0.3">
      <c r="A534" s="1848"/>
      <c r="B534" s="862" t="s">
        <v>1504</v>
      </c>
      <c r="C534" s="565">
        <v>22400</v>
      </c>
      <c r="D534" s="565">
        <v>22400</v>
      </c>
      <c r="E534" s="586"/>
      <c r="F534" s="829">
        <f t="shared" si="30"/>
        <v>0</v>
      </c>
      <c r="G534" s="829">
        <f t="shared" si="29"/>
        <v>44800</v>
      </c>
    </row>
    <row r="535" spans="1:7" s="435" customFormat="1" ht="37.5" x14ac:dyDescent="0.3">
      <c r="A535" s="1848"/>
      <c r="B535" s="862" t="s">
        <v>1505</v>
      </c>
      <c r="C535" s="565">
        <v>15000</v>
      </c>
      <c r="D535" s="565">
        <v>15000</v>
      </c>
      <c r="E535" s="586"/>
      <c r="F535" s="829">
        <f t="shared" si="30"/>
        <v>0</v>
      </c>
      <c r="G535" s="829">
        <f t="shared" si="29"/>
        <v>30000</v>
      </c>
    </row>
    <row r="536" spans="1:7" s="435" customFormat="1" ht="131.25" x14ac:dyDescent="0.3">
      <c r="A536" s="1848"/>
      <c r="B536" s="1630" t="s">
        <v>1506</v>
      </c>
      <c r="C536" s="565">
        <v>15000</v>
      </c>
      <c r="D536" s="565">
        <v>15000</v>
      </c>
      <c r="E536" s="586"/>
      <c r="F536" s="829">
        <f t="shared" si="30"/>
        <v>0</v>
      </c>
      <c r="G536" s="829">
        <f t="shared" si="29"/>
        <v>30000</v>
      </c>
    </row>
    <row r="537" spans="1:7" s="435" customFormat="1" ht="75" x14ac:dyDescent="0.3">
      <c r="A537" s="1848"/>
      <c r="B537" s="1630" t="s">
        <v>1507</v>
      </c>
      <c r="C537" s="565">
        <v>18950</v>
      </c>
      <c r="D537" s="565">
        <v>18950</v>
      </c>
      <c r="E537" s="586"/>
      <c r="F537" s="829">
        <f t="shared" si="30"/>
        <v>0</v>
      </c>
      <c r="G537" s="829">
        <f t="shared" si="29"/>
        <v>37900</v>
      </c>
    </row>
    <row r="538" spans="1:7" s="435" customFormat="1" ht="56.25" x14ac:dyDescent="0.3">
      <c r="A538" s="1848"/>
      <c r="B538" s="506" t="s">
        <v>1508</v>
      </c>
      <c r="C538" s="565">
        <v>36200</v>
      </c>
      <c r="D538" s="565">
        <v>36200</v>
      </c>
      <c r="E538" s="565"/>
      <c r="F538" s="829">
        <f t="shared" si="30"/>
        <v>0</v>
      </c>
      <c r="G538" s="829">
        <f t="shared" si="29"/>
        <v>72400</v>
      </c>
    </row>
    <row r="539" spans="1:7" s="435" customFormat="1" ht="56.25" x14ac:dyDescent="0.3">
      <c r="A539" s="1848"/>
      <c r="B539" s="506" t="s">
        <v>1509</v>
      </c>
      <c r="C539" s="565">
        <v>36200</v>
      </c>
      <c r="D539" s="565">
        <v>36200</v>
      </c>
      <c r="E539" s="565"/>
      <c r="F539" s="829">
        <f t="shared" si="30"/>
        <v>0</v>
      </c>
      <c r="G539" s="829">
        <f t="shared" si="29"/>
        <v>72400</v>
      </c>
    </row>
    <row r="540" spans="1:7" s="435" customFormat="1" ht="56.25" x14ac:dyDescent="0.3">
      <c r="A540" s="1848"/>
      <c r="B540" s="506" t="s">
        <v>1509</v>
      </c>
      <c r="C540" s="565">
        <v>23600</v>
      </c>
      <c r="D540" s="565">
        <v>23600</v>
      </c>
      <c r="E540" s="565"/>
      <c r="F540" s="829">
        <f t="shared" si="30"/>
        <v>0</v>
      </c>
      <c r="G540" s="829">
        <f t="shared" si="29"/>
        <v>47200</v>
      </c>
    </row>
    <row r="541" spans="1:7" s="435" customFormat="1" ht="93.75" x14ac:dyDescent="0.3">
      <c r="A541" s="1848"/>
      <c r="B541" s="862" t="s">
        <v>1504</v>
      </c>
      <c r="C541" s="565">
        <v>2600</v>
      </c>
      <c r="D541" s="565">
        <v>2600</v>
      </c>
      <c r="E541" s="586"/>
      <c r="F541" s="829">
        <f t="shared" si="30"/>
        <v>0</v>
      </c>
      <c r="G541" s="829">
        <f t="shared" si="29"/>
        <v>5200</v>
      </c>
    </row>
    <row r="542" spans="1:7" s="435" customFormat="1" ht="56.25" x14ac:dyDescent="0.3">
      <c r="A542" s="1848"/>
      <c r="B542" s="862" t="s">
        <v>1510</v>
      </c>
      <c r="C542" s="565">
        <v>12400</v>
      </c>
      <c r="D542" s="565">
        <v>12400</v>
      </c>
      <c r="E542" s="586"/>
      <c r="F542" s="829">
        <f t="shared" si="30"/>
        <v>0</v>
      </c>
      <c r="G542" s="829">
        <f t="shared" si="29"/>
        <v>24800</v>
      </c>
    </row>
    <row r="543" spans="1:7" s="435" customFormat="1" ht="112.5" x14ac:dyDescent="0.3">
      <c r="A543" s="1848"/>
      <c r="B543" s="506" t="s">
        <v>1537</v>
      </c>
      <c r="C543" s="565">
        <v>151811</v>
      </c>
      <c r="D543" s="1464"/>
      <c r="E543" s="586">
        <v>151811</v>
      </c>
      <c r="F543" s="829">
        <f t="shared" si="30"/>
        <v>0</v>
      </c>
      <c r="G543" s="829">
        <f t="shared" si="29"/>
        <v>303622</v>
      </c>
    </row>
    <row r="544" spans="1:7" s="435" customFormat="1" ht="75" x14ac:dyDescent="0.3">
      <c r="A544" s="1848"/>
      <c r="B544" s="506" t="s">
        <v>1639</v>
      </c>
      <c r="C544" s="1438">
        <v>200000</v>
      </c>
      <c r="D544" s="565"/>
      <c r="E544" s="565">
        <v>200000</v>
      </c>
      <c r="F544" s="829">
        <f t="shared" si="30"/>
        <v>0</v>
      </c>
      <c r="G544" s="829">
        <f t="shared" si="29"/>
        <v>400000</v>
      </c>
    </row>
    <row r="545" spans="1:7" s="970" customFormat="1" ht="75" hidden="1" x14ac:dyDescent="0.3">
      <c r="A545" s="1848"/>
      <c r="B545" s="227" t="s">
        <v>1640</v>
      </c>
      <c r="C545" s="1035">
        <f>300000-300000</f>
        <v>0</v>
      </c>
      <c r="D545" s="1449"/>
      <c r="E545" s="1449">
        <f>300000-300000</f>
        <v>0</v>
      </c>
      <c r="F545" s="969"/>
      <c r="G545" s="829">
        <f t="shared" si="29"/>
        <v>0</v>
      </c>
    </row>
    <row r="546" spans="1:7" s="435" customFormat="1" ht="75" x14ac:dyDescent="0.3">
      <c r="A546" s="1848"/>
      <c r="B546" s="506" t="s">
        <v>1943</v>
      </c>
      <c r="C546" s="882">
        <v>25000</v>
      </c>
      <c r="D546" s="882">
        <v>25000</v>
      </c>
      <c r="E546" s="882"/>
      <c r="F546" s="829">
        <f t="shared" ref="F546:F555" si="31">E546+D546-C546</f>
        <v>0</v>
      </c>
      <c r="G546" s="829">
        <f t="shared" si="29"/>
        <v>50000</v>
      </c>
    </row>
    <row r="547" spans="1:7" s="435" customFormat="1" ht="75" x14ac:dyDescent="0.3">
      <c r="A547" s="1848"/>
      <c r="B547" s="506" t="s">
        <v>1944</v>
      </c>
      <c r="C547" s="882">
        <v>25000</v>
      </c>
      <c r="D547" s="882">
        <v>25000</v>
      </c>
      <c r="E547" s="882"/>
      <c r="F547" s="829">
        <f t="shared" si="31"/>
        <v>0</v>
      </c>
      <c r="G547" s="829">
        <f t="shared" si="29"/>
        <v>50000</v>
      </c>
    </row>
    <row r="548" spans="1:7" s="435" customFormat="1" ht="56.25" x14ac:dyDescent="0.3">
      <c r="A548" s="1848"/>
      <c r="B548" s="506" t="s">
        <v>1641</v>
      </c>
      <c r="C548" s="1438">
        <v>10000</v>
      </c>
      <c r="D548" s="565"/>
      <c r="E548" s="565">
        <v>10000</v>
      </c>
      <c r="F548" s="829">
        <f t="shared" si="31"/>
        <v>0</v>
      </c>
      <c r="G548" s="829">
        <f t="shared" si="29"/>
        <v>20000</v>
      </c>
    </row>
    <row r="549" spans="1:7" s="435" customFormat="1" ht="75" x14ac:dyDescent="0.3">
      <c r="A549" s="1848"/>
      <c r="B549" s="506" t="s">
        <v>1642</v>
      </c>
      <c r="C549" s="1438">
        <v>15000</v>
      </c>
      <c r="D549" s="565"/>
      <c r="E549" s="565">
        <v>15000</v>
      </c>
      <c r="F549" s="829">
        <f t="shared" si="31"/>
        <v>0</v>
      </c>
      <c r="G549" s="829">
        <f t="shared" si="29"/>
        <v>30000</v>
      </c>
    </row>
    <row r="550" spans="1:7" s="435" customFormat="1" ht="75" x14ac:dyDescent="0.3">
      <c r="A550" s="1848"/>
      <c r="B550" s="862" t="s">
        <v>1643</v>
      </c>
      <c r="C550" s="1438">
        <v>49990</v>
      </c>
      <c r="D550" s="565">
        <v>7500</v>
      </c>
      <c r="E550" s="586">
        <v>42490</v>
      </c>
      <c r="F550" s="829">
        <f t="shared" si="31"/>
        <v>0</v>
      </c>
      <c r="G550" s="829">
        <f t="shared" si="29"/>
        <v>99980</v>
      </c>
    </row>
    <row r="551" spans="1:7" s="435" customFormat="1" ht="75" x14ac:dyDescent="0.3">
      <c r="A551" s="1848"/>
      <c r="B551" s="862" t="s">
        <v>1644</v>
      </c>
      <c r="C551" s="1438">
        <v>49990</v>
      </c>
      <c r="D551" s="565">
        <v>49990</v>
      </c>
      <c r="E551" s="586"/>
      <c r="F551" s="829">
        <f t="shared" si="31"/>
        <v>0</v>
      </c>
      <c r="G551" s="829">
        <f t="shared" si="29"/>
        <v>99980</v>
      </c>
    </row>
    <row r="552" spans="1:7" s="435" customFormat="1" ht="75" x14ac:dyDescent="0.3">
      <c r="A552" s="1848"/>
      <c r="B552" s="862" t="s">
        <v>1645</v>
      </c>
      <c r="C552" s="1438">
        <v>10000</v>
      </c>
      <c r="D552" s="1438">
        <v>10000</v>
      </c>
      <c r="E552" s="892"/>
      <c r="F552" s="829">
        <f t="shared" si="31"/>
        <v>0</v>
      </c>
      <c r="G552" s="829">
        <f t="shared" si="29"/>
        <v>20000</v>
      </c>
    </row>
    <row r="553" spans="1:7" s="435" customFormat="1" ht="75" x14ac:dyDescent="0.3">
      <c r="A553" s="1848"/>
      <c r="B553" s="1530" t="s">
        <v>1646</v>
      </c>
      <c r="C553" s="1457">
        <v>20000</v>
      </c>
      <c r="D553" s="1457">
        <v>20000</v>
      </c>
      <c r="E553" s="892"/>
      <c r="F553" s="829">
        <f t="shared" si="31"/>
        <v>0</v>
      </c>
      <c r="G553" s="829">
        <f t="shared" si="29"/>
        <v>40000</v>
      </c>
    </row>
    <row r="554" spans="1:7" s="435" customFormat="1" ht="168.75" x14ac:dyDescent="0.3">
      <c r="A554" s="1848"/>
      <c r="B554" s="1530" t="s">
        <v>1896</v>
      </c>
      <c r="C554" s="1457">
        <v>40000</v>
      </c>
      <c r="D554" s="1457">
        <v>40000</v>
      </c>
      <c r="E554" s="892"/>
      <c r="F554" s="829">
        <f t="shared" si="31"/>
        <v>0</v>
      </c>
      <c r="G554" s="829">
        <f t="shared" si="29"/>
        <v>80000</v>
      </c>
    </row>
    <row r="555" spans="1:7" s="435" customFormat="1" ht="75" x14ac:dyDescent="0.3">
      <c r="A555" s="1848"/>
      <c r="B555" s="862" t="s">
        <v>1895</v>
      </c>
      <c r="C555" s="882">
        <v>30000</v>
      </c>
      <c r="D555" s="882">
        <v>30000</v>
      </c>
      <c r="E555" s="883"/>
      <c r="F555" s="829">
        <f t="shared" si="31"/>
        <v>0</v>
      </c>
      <c r="G555" s="829">
        <f t="shared" si="29"/>
        <v>60000</v>
      </c>
    </row>
    <row r="556" spans="1:7" s="435" customFormat="1" ht="75" x14ac:dyDescent="0.3">
      <c r="A556" s="1848"/>
      <c r="B556" s="506" t="s">
        <v>1972</v>
      </c>
      <c r="C556" s="565">
        <v>20000</v>
      </c>
      <c r="D556" s="565">
        <v>20000</v>
      </c>
      <c r="E556" s="586"/>
      <c r="F556" s="829"/>
      <c r="G556" s="829">
        <f t="shared" si="29"/>
        <v>40000</v>
      </c>
    </row>
    <row r="557" spans="1:7" s="435" customFormat="1" ht="93.75" x14ac:dyDescent="0.3">
      <c r="A557" s="1848"/>
      <c r="B557" s="862" t="s">
        <v>2021</v>
      </c>
      <c r="C557" s="1627">
        <v>144780</v>
      </c>
      <c r="D557" s="1627"/>
      <c r="E557" s="1627">
        <v>144780</v>
      </c>
      <c r="F557" s="829"/>
      <c r="G557" s="829">
        <f t="shared" si="29"/>
        <v>289560</v>
      </c>
    </row>
    <row r="558" spans="1:7" s="435" customFormat="1" ht="56.25" x14ac:dyDescent="0.3">
      <c r="A558" s="1848"/>
      <c r="B558" s="1623" t="s">
        <v>2150</v>
      </c>
      <c r="C558" s="1625">
        <v>20000</v>
      </c>
      <c r="D558" s="1625">
        <v>20000</v>
      </c>
      <c r="E558" s="1625"/>
      <c r="F558" s="829"/>
      <c r="G558" s="829">
        <f t="shared" si="29"/>
        <v>40000</v>
      </c>
    </row>
    <row r="559" spans="1:7" s="435" customFormat="1" ht="75" x14ac:dyDescent="0.3">
      <c r="A559" s="1848"/>
      <c r="B559" s="1623" t="s">
        <v>2151</v>
      </c>
      <c r="C559" s="1625">
        <v>40000</v>
      </c>
      <c r="D559" s="1625"/>
      <c r="E559" s="1625">
        <v>40000</v>
      </c>
      <c r="F559" s="829"/>
      <c r="G559" s="829">
        <f t="shared" si="29"/>
        <v>80000</v>
      </c>
    </row>
    <row r="560" spans="1:7" s="435" customFormat="1" ht="56.25" x14ac:dyDescent="0.3">
      <c r="A560" s="1848"/>
      <c r="B560" s="1628" t="s">
        <v>2152</v>
      </c>
      <c r="C560" s="1631">
        <v>40000</v>
      </c>
      <c r="D560" s="1631">
        <v>40000</v>
      </c>
      <c r="E560" s="1625"/>
      <c r="F560" s="829"/>
      <c r="G560" s="829">
        <f t="shared" si="29"/>
        <v>80000</v>
      </c>
    </row>
    <row r="561" spans="1:7" s="435" customFormat="1" hidden="1" x14ac:dyDescent="0.3">
      <c r="A561" s="1848"/>
      <c r="B561" s="994"/>
      <c r="C561" s="1447"/>
      <c r="D561" s="1437"/>
      <c r="E561" s="820"/>
      <c r="F561" s="829"/>
      <c r="G561" s="829">
        <f t="shared" si="29"/>
        <v>0</v>
      </c>
    </row>
    <row r="562" spans="1:7" s="435" customFormat="1" hidden="1" x14ac:dyDescent="0.3">
      <c r="A562" s="1848"/>
      <c r="B562" s="862"/>
      <c r="C562" s="1438">
        <f>SUM(D562:E562)</f>
        <v>0</v>
      </c>
      <c r="D562" s="1439"/>
      <c r="E562" s="1440"/>
      <c r="F562" s="829">
        <f t="shared" ref="F562:F625" si="32">E562+D562-C562</f>
        <v>0</v>
      </c>
      <c r="G562" s="829">
        <f t="shared" si="29"/>
        <v>0</v>
      </c>
    </row>
    <row r="563" spans="1:7" s="435" customFormat="1" x14ac:dyDescent="0.3">
      <c r="A563" s="1848"/>
      <c r="B563" s="862" t="s">
        <v>740</v>
      </c>
      <c r="C563" s="1438">
        <f>SUM(C524:C562)</f>
        <v>2244121</v>
      </c>
      <c r="D563" s="1438">
        <f>SUM(D524:D562)</f>
        <v>492040</v>
      </c>
      <c r="E563" s="1438">
        <f>SUM(E524:E562)</f>
        <v>1752081</v>
      </c>
      <c r="F563" s="829">
        <f t="shared" si="32"/>
        <v>0</v>
      </c>
      <c r="G563" s="829">
        <f t="shared" si="29"/>
        <v>4488242</v>
      </c>
    </row>
    <row r="564" spans="1:7" s="435" customFormat="1" ht="75" x14ac:dyDescent="0.3">
      <c r="A564" s="1848" t="s">
        <v>1101</v>
      </c>
      <c r="B564" s="507" t="s">
        <v>617</v>
      </c>
      <c r="C564" s="565">
        <v>5200</v>
      </c>
      <c r="D564" s="565">
        <v>5200</v>
      </c>
      <c r="E564" s="586"/>
      <c r="F564" s="829">
        <f t="shared" si="32"/>
        <v>0</v>
      </c>
      <c r="G564" s="829">
        <f t="shared" si="29"/>
        <v>10400</v>
      </c>
    </row>
    <row r="565" spans="1:7" s="435" customFormat="1" ht="37.5" x14ac:dyDescent="0.3">
      <c r="A565" s="1848"/>
      <c r="B565" s="1118" t="s">
        <v>1232</v>
      </c>
      <c r="C565" s="1439">
        <v>50000</v>
      </c>
      <c r="D565" s="1439">
        <v>50000</v>
      </c>
      <c r="E565" s="1439"/>
      <c r="F565" s="829">
        <f t="shared" si="32"/>
        <v>0</v>
      </c>
      <c r="G565" s="829">
        <f t="shared" si="29"/>
        <v>100000</v>
      </c>
    </row>
    <row r="566" spans="1:7" s="435" customFormat="1" ht="37.5" x14ac:dyDescent="0.3">
      <c r="A566" s="1848"/>
      <c r="B566" s="506" t="s">
        <v>1937</v>
      </c>
      <c r="C566" s="882">
        <f>SUM(D566:E566)</f>
        <v>40000</v>
      </c>
      <c r="D566" s="882">
        <v>40000</v>
      </c>
      <c r="E566" s="883"/>
      <c r="F566" s="829">
        <f t="shared" si="32"/>
        <v>0</v>
      </c>
      <c r="G566" s="829">
        <f t="shared" si="29"/>
        <v>80000</v>
      </c>
    </row>
    <row r="567" spans="1:7" s="435" customFormat="1" ht="37.5" x14ac:dyDescent="0.3">
      <c r="A567" s="1848"/>
      <c r="B567" s="1628" t="s">
        <v>2153</v>
      </c>
      <c r="C567" s="1640">
        <v>30000</v>
      </c>
      <c r="D567" s="1625">
        <v>12000</v>
      </c>
      <c r="E567" s="1625">
        <v>18000</v>
      </c>
      <c r="F567" s="829">
        <f t="shared" si="32"/>
        <v>0</v>
      </c>
      <c r="G567" s="829">
        <f t="shared" si="29"/>
        <v>60000</v>
      </c>
    </row>
    <row r="568" spans="1:7" s="435" customFormat="1" ht="56.25" x14ac:dyDescent="0.3">
      <c r="A568" s="1848"/>
      <c r="B568" s="1612" t="s">
        <v>2154</v>
      </c>
      <c r="C568" s="1625">
        <v>78500</v>
      </c>
      <c r="D568" s="1625">
        <v>78500</v>
      </c>
      <c r="E568" s="1625"/>
      <c r="F568" s="829">
        <f t="shared" si="32"/>
        <v>0</v>
      </c>
      <c r="G568" s="829">
        <f t="shared" si="29"/>
        <v>157000</v>
      </c>
    </row>
    <row r="569" spans="1:7" s="435" customFormat="1" hidden="1" x14ac:dyDescent="0.3">
      <c r="A569" s="1848"/>
      <c r="B569" s="862"/>
      <c r="C569" s="1438">
        <f>SUM(D569:E569)</f>
        <v>0</v>
      </c>
      <c r="D569" s="1439"/>
      <c r="E569" s="1440"/>
      <c r="F569" s="829">
        <f t="shared" si="32"/>
        <v>0</v>
      </c>
      <c r="G569" s="829">
        <f t="shared" si="29"/>
        <v>0</v>
      </c>
    </row>
    <row r="570" spans="1:7" s="435" customFormat="1" hidden="1" x14ac:dyDescent="0.3">
      <c r="A570" s="1848"/>
      <c r="B570" s="862"/>
      <c r="C570" s="1438">
        <f>SUM(D570:E570)</f>
        <v>0</v>
      </c>
      <c r="D570" s="1439"/>
      <c r="E570" s="1440"/>
      <c r="F570" s="829">
        <f t="shared" si="32"/>
        <v>0</v>
      </c>
      <c r="G570" s="829">
        <f t="shared" si="29"/>
        <v>0</v>
      </c>
    </row>
    <row r="571" spans="1:7" s="435" customFormat="1" hidden="1" x14ac:dyDescent="0.3">
      <c r="A571" s="1848"/>
      <c r="B571" s="862"/>
      <c r="C571" s="1438">
        <f>SUM(D571:E571)</f>
        <v>0</v>
      </c>
      <c r="D571" s="1439"/>
      <c r="E571" s="1440"/>
      <c r="F571" s="829">
        <f t="shared" si="32"/>
        <v>0</v>
      </c>
      <c r="G571" s="829">
        <f t="shared" si="29"/>
        <v>0</v>
      </c>
    </row>
    <row r="572" spans="1:7" s="435" customFormat="1" hidden="1" x14ac:dyDescent="0.3">
      <c r="A572" s="1848"/>
      <c r="B572" s="862"/>
      <c r="C572" s="1438">
        <f>SUM(D572:E572)</f>
        <v>0</v>
      </c>
      <c r="D572" s="1439"/>
      <c r="E572" s="1440"/>
      <c r="F572" s="829">
        <f t="shared" si="32"/>
        <v>0</v>
      </c>
      <c r="G572" s="829">
        <f t="shared" si="29"/>
        <v>0</v>
      </c>
    </row>
    <row r="573" spans="1:7" s="435" customFormat="1" ht="72" hidden="1" customHeight="1" x14ac:dyDescent="0.3">
      <c r="A573" s="1848"/>
      <c r="B573" s="862"/>
      <c r="C573" s="1438">
        <f>SUM(D573:E573)</f>
        <v>0</v>
      </c>
      <c r="D573" s="1439"/>
      <c r="E573" s="1440"/>
      <c r="F573" s="829">
        <f t="shared" si="32"/>
        <v>0</v>
      </c>
      <c r="G573" s="829">
        <f t="shared" si="29"/>
        <v>0</v>
      </c>
    </row>
    <row r="574" spans="1:7" s="435" customFormat="1" x14ac:dyDescent="0.3">
      <c r="A574" s="1848"/>
      <c r="B574" s="862" t="s">
        <v>740</v>
      </c>
      <c r="C574" s="1438">
        <f>SUM(C564:C573)</f>
        <v>203700</v>
      </c>
      <c r="D574" s="1438">
        <f>SUM(D564:D573)</f>
        <v>185700</v>
      </c>
      <c r="E574" s="1438">
        <f>SUM(E564:E573)</f>
        <v>18000</v>
      </c>
      <c r="F574" s="829">
        <f t="shared" si="32"/>
        <v>0</v>
      </c>
      <c r="G574" s="829">
        <f t="shared" si="29"/>
        <v>407400</v>
      </c>
    </row>
    <row r="575" spans="1:7" s="435" customFormat="1" ht="36" customHeight="1" x14ac:dyDescent="0.3">
      <c r="A575" s="1848" t="s">
        <v>1102</v>
      </c>
      <c r="B575" s="507" t="s">
        <v>617</v>
      </c>
      <c r="C575" s="565">
        <v>5700</v>
      </c>
      <c r="D575" s="565">
        <v>5700</v>
      </c>
      <c r="E575" s="586"/>
      <c r="F575" s="829">
        <f t="shared" si="32"/>
        <v>0</v>
      </c>
      <c r="G575" s="829">
        <f t="shared" si="29"/>
        <v>11400</v>
      </c>
    </row>
    <row r="576" spans="1:7" s="435" customFormat="1" ht="56.25" x14ac:dyDescent="0.3">
      <c r="A576" s="1848"/>
      <c r="B576" s="1118" t="s">
        <v>1307</v>
      </c>
      <c r="C576" s="1439">
        <v>25000</v>
      </c>
      <c r="D576" s="1439">
        <v>25000</v>
      </c>
      <c r="E576" s="1439"/>
      <c r="F576" s="829">
        <f t="shared" si="32"/>
        <v>0</v>
      </c>
      <c r="G576" s="829">
        <f t="shared" si="29"/>
        <v>50000</v>
      </c>
    </row>
    <row r="577" spans="1:7" s="435" customFormat="1" ht="56.25" x14ac:dyDescent="0.3">
      <c r="A577" s="1848"/>
      <c r="B577" s="1122" t="s">
        <v>1308</v>
      </c>
      <c r="C577" s="1633">
        <v>50000</v>
      </c>
      <c r="D577" s="1622">
        <v>50000</v>
      </c>
      <c r="E577" s="1440"/>
      <c r="F577" s="829">
        <f t="shared" si="32"/>
        <v>0</v>
      </c>
      <c r="G577" s="829">
        <f t="shared" si="29"/>
        <v>100000</v>
      </c>
    </row>
    <row r="578" spans="1:7" s="435" customFormat="1" hidden="1" x14ac:dyDescent="0.3">
      <c r="A578" s="1848"/>
      <c r="B578" s="862"/>
      <c r="C578" s="1438">
        <f t="shared" ref="C578:C584" si="33">SUM(D578:E578)</f>
        <v>0</v>
      </c>
      <c r="D578" s="1439"/>
      <c r="E578" s="1440"/>
      <c r="F578" s="829">
        <f t="shared" si="32"/>
        <v>0</v>
      </c>
      <c r="G578" s="829">
        <f t="shared" si="29"/>
        <v>0</v>
      </c>
    </row>
    <row r="579" spans="1:7" s="435" customFormat="1" hidden="1" x14ac:dyDescent="0.3">
      <c r="A579" s="1848"/>
      <c r="B579" s="862"/>
      <c r="C579" s="1438">
        <f t="shared" si="33"/>
        <v>0</v>
      </c>
      <c r="D579" s="1439"/>
      <c r="E579" s="1440"/>
      <c r="F579" s="829">
        <f t="shared" si="32"/>
        <v>0</v>
      </c>
      <c r="G579" s="829">
        <f t="shared" si="29"/>
        <v>0</v>
      </c>
    </row>
    <row r="580" spans="1:7" s="435" customFormat="1" hidden="1" x14ac:dyDescent="0.3">
      <c r="A580" s="1848"/>
      <c r="B580" s="862"/>
      <c r="C580" s="1438">
        <f t="shared" si="33"/>
        <v>0</v>
      </c>
      <c r="D580" s="1439"/>
      <c r="E580" s="1440"/>
      <c r="F580" s="829">
        <f t="shared" si="32"/>
        <v>0</v>
      </c>
      <c r="G580" s="829">
        <f t="shared" si="29"/>
        <v>0</v>
      </c>
    </row>
    <row r="581" spans="1:7" s="435" customFormat="1" hidden="1" x14ac:dyDescent="0.3">
      <c r="A581" s="1848"/>
      <c r="B581" s="862"/>
      <c r="C581" s="1438">
        <f t="shared" si="33"/>
        <v>0</v>
      </c>
      <c r="D581" s="1439"/>
      <c r="E581" s="1440"/>
      <c r="F581" s="829">
        <f t="shared" si="32"/>
        <v>0</v>
      </c>
      <c r="G581" s="829">
        <f t="shared" si="29"/>
        <v>0</v>
      </c>
    </row>
    <row r="582" spans="1:7" s="435" customFormat="1" hidden="1" x14ac:dyDescent="0.3">
      <c r="A582" s="1848"/>
      <c r="B582" s="862"/>
      <c r="C582" s="1438">
        <f t="shared" si="33"/>
        <v>0</v>
      </c>
      <c r="D582" s="1439"/>
      <c r="E582" s="1440"/>
      <c r="F582" s="829">
        <f t="shared" si="32"/>
        <v>0</v>
      </c>
      <c r="G582" s="829">
        <f t="shared" si="29"/>
        <v>0</v>
      </c>
    </row>
    <row r="583" spans="1:7" hidden="1" x14ac:dyDescent="0.3">
      <c r="A583" s="1848"/>
      <c r="B583" s="862"/>
      <c r="C583" s="1438">
        <f t="shared" si="33"/>
        <v>0</v>
      </c>
      <c r="D583" s="1439"/>
      <c r="E583" s="1440"/>
      <c r="F583" s="829">
        <f t="shared" si="32"/>
        <v>0</v>
      </c>
      <c r="G583" s="829">
        <f t="shared" si="29"/>
        <v>0</v>
      </c>
    </row>
    <row r="584" spans="1:7" hidden="1" x14ac:dyDescent="0.3">
      <c r="A584" s="1848"/>
      <c r="B584" s="862"/>
      <c r="C584" s="1438">
        <f t="shared" si="33"/>
        <v>0</v>
      </c>
      <c r="D584" s="1439"/>
      <c r="E584" s="1440"/>
      <c r="F584" s="829">
        <f t="shared" si="32"/>
        <v>0</v>
      </c>
      <c r="G584" s="829">
        <f t="shared" si="29"/>
        <v>0</v>
      </c>
    </row>
    <row r="585" spans="1:7" x14ac:dyDescent="0.3">
      <c r="A585" s="1848"/>
      <c r="B585" s="862" t="s">
        <v>740</v>
      </c>
      <c r="C585" s="1438">
        <f>SUM(C575:C584)</f>
        <v>80700</v>
      </c>
      <c r="D585" s="1438">
        <f>SUM(D575:D584)</f>
        <v>80700</v>
      </c>
      <c r="E585" s="1438">
        <f>SUM(E575:E584)</f>
        <v>0</v>
      </c>
      <c r="F585" s="829">
        <f t="shared" si="32"/>
        <v>0</v>
      </c>
      <c r="G585" s="829">
        <f t="shared" ref="G585:G648" si="34">SUM(C585:E585)</f>
        <v>161400</v>
      </c>
    </row>
    <row r="586" spans="1:7" ht="75" x14ac:dyDescent="0.3">
      <c r="A586" s="1848" t="s">
        <v>1103</v>
      </c>
      <c r="B586" s="507" t="s">
        <v>617</v>
      </c>
      <c r="C586" s="565">
        <v>328000</v>
      </c>
      <c r="D586" s="565">
        <v>328000</v>
      </c>
      <c r="E586" s="586"/>
      <c r="F586" s="829">
        <f t="shared" si="32"/>
        <v>0</v>
      </c>
      <c r="G586" s="829">
        <f t="shared" si="34"/>
        <v>656000</v>
      </c>
    </row>
    <row r="587" spans="1:7" ht="56.25" x14ac:dyDescent="0.3">
      <c r="A587" s="1848"/>
      <c r="B587" s="1118" t="s">
        <v>1336</v>
      </c>
      <c r="C587" s="1439">
        <v>200000</v>
      </c>
      <c r="D587" s="1439">
        <v>200000</v>
      </c>
      <c r="E587" s="1439"/>
      <c r="F587" s="829">
        <f t="shared" si="32"/>
        <v>0</v>
      </c>
      <c r="G587" s="829">
        <f t="shared" si="34"/>
        <v>400000</v>
      </c>
    </row>
    <row r="588" spans="1:7" ht="112.5" x14ac:dyDescent="0.3">
      <c r="A588" s="1848"/>
      <c r="B588" s="862" t="s">
        <v>1534</v>
      </c>
      <c r="C588" s="1438">
        <f>SUM(D588:E588)</f>
        <v>77910</v>
      </c>
      <c r="D588" s="1438">
        <v>77910</v>
      </c>
      <c r="E588" s="1440"/>
      <c r="F588" s="829">
        <f t="shared" si="32"/>
        <v>0</v>
      </c>
      <c r="G588" s="829">
        <f t="shared" si="34"/>
        <v>155820</v>
      </c>
    </row>
    <row r="589" spans="1:7" ht="75" x14ac:dyDescent="0.3">
      <c r="A589" s="1848"/>
      <c r="B589" s="506" t="s">
        <v>1968</v>
      </c>
      <c r="C589" s="565">
        <v>236200</v>
      </c>
      <c r="D589" s="565">
        <v>236200</v>
      </c>
      <c r="E589" s="892"/>
      <c r="F589" s="829">
        <f t="shared" si="32"/>
        <v>0</v>
      </c>
      <c r="G589" s="829">
        <f t="shared" si="34"/>
        <v>472400</v>
      </c>
    </row>
    <row r="590" spans="1:7" ht="93.75" x14ac:dyDescent="0.3">
      <c r="A590" s="1848"/>
      <c r="B590" s="1641" t="s">
        <v>1869</v>
      </c>
      <c r="C590" s="565">
        <f>D590+E590</f>
        <v>179200</v>
      </c>
      <c r="D590" s="565"/>
      <c r="E590" s="586">
        <v>179200</v>
      </c>
      <c r="F590" s="829">
        <f t="shared" si="32"/>
        <v>0</v>
      </c>
      <c r="G590" s="829">
        <f t="shared" si="34"/>
        <v>358400</v>
      </c>
    </row>
    <row r="591" spans="1:7" ht="225" x14ac:dyDescent="0.3">
      <c r="A591" s="1848"/>
      <c r="B591" s="1618" t="s">
        <v>1870</v>
      </c>
      <c r="C591" s="565">
        <v>508400</v>
      </c>
      <c r="D591" s="565"/>
      <c r="E591" s="586">
        <v>508400</v>
      </c>
      <c r="F591" s="829">
        <f t="shared" si="32"/>
        <v>0</v>
      </c>
      <c r="G591" s="829">
        <f t="shared" si="34"/>
        <v>1016800</v>
      </c>
    </row>
    <row r="592" spans="1:7" s="435" customFormat="1" ht="75" x14ac:dyDescent="0.3">
      <c r="A592" s="1848"/>
      <c r="B592" s="862" t="s">
        <v>2022</v>
      </c>
      <c r="C592" s="1631">
        <v>92000</v>
      </c>
      <c r="D592" s="1627">
        <v>92000</v>
      </c>
      <c r="E592" s="1627"/>
      <c r="F592" s="829">
        <f t="shared" si="32"/>
        <v>0</v>
      </c>
      <c r="G592" s="829">
        <f t="shared" si="34"/>
        <v>184000</v>
      </c>
    </row>
    <row r="593" spans="1:7" s="435" customFormat="1" ht="75" x14ac:dyDescent="0.3">
      <c r="A593" s="1848"/>
      <c r="B593" s="862" t="s">
        <v>2023</v>
      </c>
      <c r="C593" s="1631">
        <v>16956</v>
      </c>
      <c r="D593" s="1627">
        <v>16956</v>
      </c>
      <c r="E593" s="1627"/>
      <c r="F593" s="829">
        <f t="shared" si="32"/>
        <v>0</v>
      </c>
      <c r="G593" s="829">
        <f t="shared" si="34"/>
        <v>33912</v>
      </c>
    </row>
    <row r="594" spans="1:7" s="435" customFormat="1" ht="56.25" x14ac:dyDescent="0.3">
      <c r="A594" s="1848"/>
      <c r="B594" s="1623" t="s">
        <v>2155</v>
      </c>
      <c r="C594" s="1625">
        <v>36200</v>
      </c>
      <c r="D594" s="1625">
        <v>36200</v>
      </c>
      <c r="E594" s="1625"/>
      <c r="F594" s="829"/>
      <c r="G594" s="829">
        <f t="shared" si="34"/>
        <v>72400</v>
      </c>
    </row>
    <row r="595" spans="1:7" s="435" customFormat="1" ht="75" x14ac:dyDescent="0.3">
      <c r="A595" s="1848"/>
      <c r="B595" s="1628" t="s">
        <v>2156</v>
      </c>
      <c r="C595" s="1625">
        <v>15000</v>
      </c>
      <c r="D595" s="1625">
        <v>15000</v>
      </c>
      <c r="E595" s="1625"/>
      <c r="F595" s="829"/>
      <c r="G595" s="829">
        <f t="shared" si="34"/>
        <v>30000</v>
      </c>
    </row>
    <row r="596" spans="1:7" s="435" customFormat="1" ht="56.25" x14ac:dyDescent="0.3">
      <c r="A596" s="1848"/>
      <c r="B596" s="1623" t="s">
        <v>2157</v>
      </c>
      <c r="C596" s="1624">
        <v>158000</v>
      </c>
      <c r="D596" s="1625">
        <v>158000</v>
      </c>
      <c r="E596" s="1625"/>
      <c r="F596" s="829"/>
      <c r="G596" s="829">
        <f t="shared" si="34"/>
        <v>316000</v>
      </c>
    </row>
    <row r="597" spans="1:7" s="435" customFormat="1" ht="56.25" x14ac:dyDescent="0.3">
      <c r="A597" s="1848"/>
      <c r="B597" s="1623" t="s">
        <v>2158</v>
      </c>
      <c r="C597" s="1624">
        <v>33044</v>
      </c>
      <c r="D597" s="1631">
        <v>33044</v>
      </c>
      <c r="E597" s="1625"/>
      <c r="F597" s="829"/>
      <c r="G597" s="829">
        <f t="shared" si="34"/>
        <v>66088</v>
      </c>
    </row>
    <row r="598" spans="1:7" s="435" customFormat="1" hidden="1" x14ac:dyDescent="0.3">
      <c r="A598" s="1848"/>
      <c r="B598" s="1397"/>
      <c r="C598" s="1463"/>
      <c r="D598" s="1448"/>
      <c r="E598" s="1448"/>
      <c r="F598" s="829"/>
      <c r="G598" s="829">
        <f t="shared" si="34"/>
        <v>0</v>
      </c>
    </row>
    <row r="599" spans="1:7" s="435" customFormat="1" hidden="1" x14ac:dyDescent="0.3">
      <c r="A599" s="1848"/>
      <c r="B599" s="862"/>
      <c r="C599" s="1438"/>
      <c r="D599" s="1439"/>
      <c r="E599" s="1440"/>
      <c r="F599" s="829">
        <f t="shared" si="32"/>
        <v>0</v>
      </c>
      <c r="G599" s="829">
        <f t="shared" si="34"/>
        <v>0</v>
      </c>
    </row>
    <row r="600" spans="1:7" s="435" customFormat="1" hidden="1" x14ac:dyDescent="0.3">
      <c r="A600" s="1848"/>
      <c r="B600" s="862"/>
      <c r="C600" s="1438"/>
      <c r="D600" s="1439"/>
      <c r="E600" s="1440"/>
      <c r="F600" s="829">
        <f t="shared" si="32"/>
        <v>0</v>
      </c>
      <c r="G600" s="829">
        <f t="shared" si="34"/>
        <v>0</v>
      </c>
    </row>
    <row r="601" spans="1:7" s="435" customFormat="1" x14ac:dyDescent="0.3">
      <c r="A601" s="1848"/>
      <c r="B601" s="862" t="s">
        <v>740</v>
      </c>
      <c r="C601" s="1438">
        <f>SUM(C586:C600)</f>
        <v>1880910</v>
      </c>
      <c r="D601" s="1438">
        <f>SUM(D586:D600)</f>
        <v>1193310</v>
      </c>
      <c r="E601" s="1438">
        <f>SUM(E586:E600)</f>
        <v>687600</v>
      </c>
      <c r="F601" s="829">
        <f t="shared" si="32"/>
        <v>0</v>
      </c>
      <c r="G601" s="829">
        <f t="shared" si="34"/>
        <v>3761820</v>
      </c>
    </row>
    <row r="602" spans="1:7" s="435" customFormat="1" ht="75" x14ac:dyDescent="0.3">
      <c r="A602" s="1848" t="s">
        <v>1104</v>
      </c>
      <c r="B602" s="507" t="s">
        <v>617</v>
      </c>
      <c r="C602" s="565">
        <f>900100+1480</f>
        <v>901580</v>
      </c>
      <c r="D602" s="565">
        <f>900100+1480</f>
        <v>901580</v>
      </c>
      <c r="E602" s="586"/>
      <c r="F602" s="829">
        <f t="shared" si="32"/>
        <v>0</v>
      </c>
      <c r="G602" s="829">
        <f t="shared" si="34"/>
        <v>1803160</v>
      </c>
    </row>
    <row r="603" spans="1:7" s="435" customFormat="1" ht="112.5" hidden="1" x14ac:dyDescent="0.3">
      <c r="A603" s="1848"/>
      <c r="B603" s="506" t="s">
        <v>618</v>
      </c>
      <c r="C603" s="565"/>
      <c r="D603" s="1464"/>
      <c r="E603" s="586"/>
      <c r="F603" s="829">
        <f t="shared" si="32"/>
        <v>0</v>
      </c>
      <c r="G603" s="829">
        <f t="shared" si="34"/>
        <v>0</v>
      </c>
    </row>
    <row r="604" spans="1:7" s="435" customFormat="1" ht="56.25" x14ac:dyDescent="0.3">
      <c r="A604" s="1848"/>
      <c r="B604" s="1118" t="s">
        <v>1300</v>
      </c>
      <c r="C604" s="1439">
        <v>200000</v>
      </c>
      <c r="D604" s="1439"/>
      <c r="E604" s="1439">
        <v>200000</v>
      </c>
      <c r="F604" s="829">
        <f t="shared" si="32"/>
        <v>0</v>
      </c>
      <c r="G604" s="829">
        <f t="shared" si="34"/>
        <v>400000</v>
      </c>
    </row>
    <row r="605" spans="1:7" s="435" customFormat="1" ht="56.25" x14ac:dyDescent="0.3">
      <c r="A605" s="1848"/>
      <c r="B605" s="1118" t="s">
        <v>1301</v>
      </c>
      <c r="C605" s="1439">
        <v>200000</v>
      </c>
      <c r="D605" s="1439"/>
      <c r="E605" s="1439">
        <v>200000</v>
      </c>
      <c r="F605" s="829">
        <f t="shared" si="32"/>
        <v>0</v>
      </c>
      <c r="G605" s="829">
        <f t="shared" si="34"/>
        <v>400000</v>
      </c>
    </row>
    <row r="606" spans="1:7" s="435" customFormat="1" ht="37.5" x14ac:dyDescent="0.3">
      <c r="A606" s="1848"/>
      <c r="B606" s="506" t="s">
        <v>1890</v>
      </c>
      <c r="C606" s="882">
        <v>150000</v>
      </c>
      <c r="D606" s="882"/>
      <c r="E606" s="882">
        <v>150000</v>
      </c>
      <c r="F606" s="829">
        <f t="shared" si="32"/>
        <v>0</v>
      </c>
      <c r="G606" s="829">
        <f t="shared" si="34"/>
        <v>300000</v>
      </c>
    </row>
    <row r="607" spans="1:7" s="435" customFormat="1" ht="56.25" x14ac:dyDescent="0.3">
      <c r="A607" s="1848"/>
      <c r="B607" s="1118" t="s">
        <v>1302</v>
      </c>
      <c r="C607" s="1439">
        <v>250000</v>
      </c>
      <c r="D607" s="1439"/>
      <c r="E607" s="1439">
        <v>250000</v>
      </c>
      <c r="F607" s="829">
        <f t="shared" si="32"/>
        <v>0</v>
      </c>
      <c r="G607" s="829">
        <f t="shared" si="34"/>
        <v>500000</v>
      </c>
    </row>
    <row r="608" spans="1:7" s="435" customFormat="1" ht="37.5" x14ac:dyDescent="0.3">
      <c r="A608" s="1848"/>
      <c r="B608" s="1122" t="s">
        <v>1242</v>
      </c>
      <c r="C608" s="1626">
        <v>40000</v>
      </c>
      <c r="D608" s="1622"/>
      <c r="E608" s="1440">
        <v>40000</v>
      </c>
      <c r="F608" s="829">
        <f t="shared" si="32"/>
        <v>0</v>
      </c>
      <c r="G608" s="829">
        <f t="shared" si="34"/>
        <v>80000</v>
      </c>
    </row>
    <row r="609" spans="1:7" s="435" customFormat="1" ht="112.5" x14ac:dyDescent="0.3">
      <c r="A609" s="1848"/>
      <c r="B609" s="862" t="s">
        <v>1534</v>
      </c>
      <c r="C609" s="1438">
        <f>SUM(D609:E609)</f>
        <v>255990</v>
      </c>
      <c r="D609" s="1438">
        <v>255990</v>
      </c>
      <c r="E609" s="1440"/>
      <c r="F609" s="829">
        <f t="shared" si="32"/>
        <v>0</v>
      </c>
      <c r="G609" s="829">
        <f t="shared" si="34"/>
        <v>511980</v>
      </c>
    </row>
    <row r="610" spans="1:7" s="435" customFormat="1" ht="56.25" x14ac:dyDescent="0.3">
      <c r="A610" s="1848"/>
      <c r="B610" s="506" t="s">
        <v>1535</v>
      </c>
      <c r="C610" s="565">
        <v>150000</v>
      </c>
      <c r="D610" s="565">
        <v>150000</v>
      </c>
      <c r="E610" s="586"/>
      <c r="F610" s="829">
        <f t="shared" si="32"/>
        <v>0</v>
      </c>
      <c r="G610" s="829">
        <f t="shared" si="34"/>
        <v>300000</v>
      </c>
    </row>
    <row r="611" spans="1:7" s="435" customFormat="1" ht="75" x14ac:dyDescent="0.3">
      <c r="A611" s="1848"/>
      <c r="B611" s="1642" t="s">
        <v>1731</v>
      </c>
      <c r="C611" s="1438">
        <v>50000</v>
      </c>
      <c r="D611" s="565">
        <v>50000</v>
      </c>
      <c r="E611" s="892"/>
      <c r="F611" s="829">
        <f t="shared" si="32"/>
        <v>0</v>
      </c>
      <c r="G611" s="829">
        <f t="shared" si="34"/>
        <v>100000</v>
      </c>
    </row>
    <row r="612" spans="1:7" s="435" customFormat="1" ht="131.25" x14ac:dyDescent="0.3">
      <c r="A612" s="1848"/>
      <c r="B612" s="862" t="s">
        <v>1647</v>
      </c>
      <c r="C612" s="1457">
        <v>100000</v>
      </c>
      <c r="D612" s="1457">
        <v>100000</v>
      </c>
      <c r="E612" s="1457"/>
      <c r="F612" s="829">
        <f t="shared" si="32"/>
        <v>0</v>
      </c>
      <c r="G612" s="829">
        <f t="shared" si="34"/>
        <v>200000</v>
      </c>
    </row>
    <row r="613" spans="1:7" s="435" customFormat="1" ht="75" x14ac:dyDescent="0.3">
      <c r="A613" s="1848"/>
      <c r="B613" s="506" t="s">
        <v>1892</v>
      </c>
      <c r="C613" s="882">
        <v>50000</v>
      </c>
      <c r="D613" s="882">
        <v>50000</v>
      </c>
      <c r="E613" s="883"/>
      <c r="F613" s="829">
        <f t="shared" si="32"/>
        <v>0</v>
      </c>
      <c r="G613" s="829">
        <f t="shared" si="34"/>
        <v>100000</v>
      </c>
    </row>
    <row r="614" spans="1:7" s="435" customFormat="1" ht="75" x14ac:dyDescent="0.3">
      <c r="A614" s="1848"/>
      <c r="B614" s="506" t="s">
        <v>1648</v>
      </c>
      <c r="C614" s="1457">
        <v>50000</v>
      </c>
      <c r="D614" s="1457">
        <v>50000</v>
      </c>
      <c r="E614" s="1457"/>
      <c r="F614" s="829">
        <f t="shared" si="32"/>
        <v>0</v>
      </c>
      <c r="G614" s="829">
        <f t="shared" si="34"/>
        <v>100000</v>
      </c>
    </row>
    <row r="615" spans="1:7" s="435" customFormat="1" ht="93.75" x14ac:dyDescent="0.3">
      <c r="A615" s="1848"/>
      <c r="B615" s="506" t="s">
        <v>1649</v>
      </c>
      <c r="C615" s="1457">
        <v>50000</v>
      </c>
      <c r="D615" s="1457">
        <v>50000</v>
      </c>
      <c r="E615" s="1457"/>
      <c r="F615" s="829">
        <f t="shared" si="32"/>
        <v>0</v>
      </c>
      <c r="G615" s="829">
        <f t="shared" si="34"/>
        <v>100000</v>
      </c>
    </row>
    <row r="616" spans="1:7" s="435" customFormat="1" ht="75" x14ac:dyDescent="0.3">
      <c r="A616" s="1848"/>
      <c r="B616" s="862" t="s">
        <v>1650</v>
      </c>
      <c r="C616" s="1457">
        <v>30000</v>
      </c>
      <c r="D616" s="1457">
        <v>30000</v>
      </c>
      <c r="E616" s="1457"/>
      <c r="F616" s="829">
        <f t="shared" si="32"/>
        <v>0</v>
      </c>
      <c r="G616" s="829">
        <f t="shared" si="34"/>
        <v>60000</v>
      </c>
    </row>
    <row r="617" spans="1:7" s="435" customFormat="1" ht="93.75" x14ac:dyDescent="0.3">
      <c r="A617" s="1848"/>
      <c r="B617" s="862" t="s">
        <v>1651</v>
      </c>
      <c r="C617" s="1457">
        <v>38000</v>
      </c>
      <c r="D617" s="1457">
        <v>38000</v>
      </c>
      <c r="E617" s="1457"/>
      <c r="F617" s="829">
        <f t="shared" si="32"/>
        <v>0</v>
      </c>
      <c r="G617" s="829">
        <f t="shared" si="34"/>
        <v>76000</v>
      </c>
    </row>
    <row r="618" spans="1:7" s="435" customFormat="1" ht="75" x14ac:dyDescent="0.3">
      <c r="A618" s="1848"/>
      <c r="B618" s="862" t="s">
        <v>1652</v>
      </c>
      <c r="C618" s="1457">
        <v>13000</v>
      </c>
      <c r="D618" s="1457">
        <v>13000</v>
      </c>
      <c r="E618" s="1457"/>
      <c r="F618" s="829">
        <f t="shared" si="32"/>
        <v>0</v>
      </c>
      <c r="G618" s="829">
        <f t="shared" si="34"/>
        <v>26000</v>
      </c>
    </row>
    <row r="619" spans="1:7" s="435" customFormat="1" ht="75" x14ac:dyDescent="0.3">
      <c r="A619" s="1848"/>
      <c r="B619" s="862" t="s">
        <v>1653</v>
      </c>
      <c r="C619" s="1457">
        <v>10000</v>
      </c>
      <c r="D619" s="1457">
        <v>10000</v>
      </c>
      <c r="E619" s="1457"/>
      <c r="F619" s="829">
        <f t="shared" si="32"/>
        <v>0</v>
      </c>
      <c r="G619" s="829">
        <f t="shared" si="34"/>
        <v>20000</v>
      </c>
    </row>
    <row r="620" spans="1:7" s="435" customFormat="1" ht="75" x14ac:dyDescent="0.3">
      <c r="A620" s="1848"/>
      <c r="B620" s="862" t="s">
        <v>1654</v>
      </c>
      <c r="C620" s="1457">
        <v>25000</v>
      </c>
      <c r="D620" s="1457">
        <v>25000</v>
      </c>
      <c r="E620" s="1457"/>
      <c r="F620" s="829">
        <f t="shared" si="32"/>
        <v>0</v>
      </c>
      <c r="G620" s="829">
        <f t="shared" si="34"/>
        <v>50000</v>
      </c>
    </row>
    <row r="621" spans="1:7" s="435" customFormat="1" ht="75" x14ac:dyDescent="0.3">
      <c r="A621" s="1848"/>
      <c r="B621" s="862" t="s">
        <v>1655</v>
      </c>
      <c r="C621" s="1457">
        <v>39000</v>
      </c>
      <c r="D621" s="1457">
        <v>39000</v>
      </c>
      <c r="E621" s="1457"/>
      <c r="F621" s="829">
        <f t="shared" si="32"/>
        <v>0</v>
      </c>
      <c r="G621" s="829">
        <f t="shared" si="34"/>
        <v>78000</v>
      </c>
    </row>
    <row r="622" spans="1:7" s="435" customFormat="1" ht="75" x14ac:dyDescent="0.3">
      <c r="A622" s="1848"/>
      <c r="B622" s="862" t="s">
        <v>1656</v>
      </c>
      <c r="C622" s="1457">
        <v>20000</v>
      </c>
      <c r="D622" s="1457">
        <v>20000</v>
      </c>
      <c r="E622" s="1457"/>
      <c r="F622" s="829">
        <f t="shared" si="32"/>
        <v>0</v>
      </c>
      <c r="G622" s="829">
        <f t="shared" si="34"/>
        <v>40000</v>
      </c>
    </row>
    <row r="623" spans="1:7" s="435" customFormat="1" ht="93.75" x14ac:dyDescent="0.3">
      <c r="A623" s="1848"/>
      <c r="B623" s="862" t="s">
        <v>1657</v>
      </c>
      <c r="C623" s="1457">
        <v>5000</v>
      </c>
      <c r="D623" s="1457">
        <v>5000</v>
      </c>
      <c r="E623" s="1457"/>
      <c r="F623" s="829">
        <f t="shared" si="32"/>
        <v>0</v>
      </c>
      <c r="G623" s="829">
        <f t="shared" si="34"/>
        <v>10000</v>
      </c>
    </row>
    <row r="624" spans="1:7" s="435" customFormat="1" ht="112.5" x14ac:dyDescent="0.3">
      <c r="A624" s="1848"/>
      <c r="B624" s="862" t="s">
        <v>1658</v>
      </c>
      <c r="C624" s="1457">
        <v>20000</v>
      </c>
      <c r="D624" s="1457">
        <v>20000</v>
      </c>
      <c r="E624" s="1457"/>
      <c r="F624" s="829">
        <f t="shared" si="32"/>
        <v>0</v>
      </c>
      <c r="G624" s="829">
        <f t="shared" si="34"/>
        <v>40000</v>
      </c>
    </row>
    <row r="625" spans="1:7" s="435" customFormat="1" ht="37.5" x14ac:dyDescent="0.3">
      <c r="A625" s="1848"/>
      <c r="B625" s="506" t="s">
        <v>1659</v>
      </c>
      <c r="C625" s="565">
        <v>63800</v>
      </c>
      <c r="D625" s="565">
        <v>63800</v>
      </c>
      <c r="E625" s="1457"/>
      <c r="F625" s="829">
        <f t="shared" si="32"/>
        <v>0</v>
      </c>
      <c r="G625" s="829">
        <f t="shared" si="34"/>
        <v>127600</v>
      </c>
    </row>
    <row r="626" spans="1:7" s="435" customFormat="1" ht="93.75" x14ac:dyDescent="0.3">
      <c r="A626" s="1848"/>
      <c r="B626" s="1628" t="s">
        <v>2159</v>
      </c>
      <c r="C626" s="1625">
        <v>100000</v>
      </c>
      <c r="D626" s="1625">
        <v>18000</v>
      </c>
      <c r="E626" s="1625">
        <v>82000</v>
      </c>
      <c r="F626" s="829"/>
      <c r="G626" s="829">
        <f t="shared" si="34"/>
        <v>200000</v>
      </c>
    </row>
    <row r="627" spans="1:7" s="435" customFormat="1" ht="131.25" x14ac:dyDescent="0.3">
      <c r="A627" s="1848"/>
      <c r="B627" s="1612" t="s">
        <v>2160</v>
      </c>
      <c r="C627" s="1625">
        <v>100000</v>
      </c>
      <c r="D627" s="1625"/>
      <c r="E627" s="1625">
        <v>100000</v>
      </c>
      <c r="F627" s="829"/>
      <c r="G627" s="829">
        <f t="shared" si="34"/>
        <v>200000</v>
      </c>
    </row>
    <row r="628" spans="1:7" s="435" customFormat="1" hidden="1" x14ac:dyDescent="0.3">
      <c r="A628" s="1848"/>
      <c r="B628" s="227"/>
      <c r="C628" s="1449"/>
      <c r="D628" s="1449"/>
      <c r="E628" s="1450"/>
      <c r="F628" s="829"/>
      <c r="G628" s="829">
        <f t="shared" si="34"/>
        <v>0</v>
      </c>
    </row>
    <row r="629" spans="1:7" s="435" customFormat="1" hidden="1" x14ac:dyDescent="0.3">
      <c r="A629" s="1848"/>
      <c r="B629" s="227"/>
      <c r="C629" s="1449"/>
      <c r="D629" s="1449"/>
      <c r="E629" s="1450"/>
      <c r="F629" s="829"/>
      <c r="G629" s="829">
        <f t="shared" si="34"/>
        <v>0</v>
      </c>
    </row>
    <row r="630" spans="1:7" s="435" customFormat="1" hidden="1" x14ac:dyDescent="0.3">
      <c r="A630" s="1848"/>
      <c r="B630" s="227"/>
      <c r="C630" s="1449"/>
      <c r="D630" s="1449"/>
      <c r="E630" s="1450"/>
      <c r="F630" s="829"/>
      <c r="G630" s="829">
        <f t="shared" si="34"/>
        <v>0</v>
      </c>
    </row>
    <row r="631" spans="1:7" s="435" customFormat="1" hidden="1" x14ac:dyDescent="0.3">
      <c r="A631" s="1848"/>
      <c r="B631" s="227"/>
      <c r="C631" s="1449"/>
      <c r="D631" s="1449"/>
      <c r="E631" s="1450"/>
      <c r="F631" s="829"/>
      <c r="G631" s="829">
        <f t="shared" si="34"/>
        <v>0</v>
      </c>
    </row>
    <row r="632" spans="1:7" s="435" customFormat="1" hidden="1" x14ac:dyDescent="0.3">
      <c r="A632" s="1848"/>
      <c r="B632" s="965"/>
      <c r="C632" s="1438">
        <f t="shared" ref="C632:C637" si="35">SUM(D632:E632)</f>
        <v>0</v>
      </c>
      <c r="D632" s="1444"/>
      <c r="E632" s="1445"/>
      <c r="F632" s="829"/>
      <c r="G632" s="829">
        <f t="shared" si="34"/>
        <v>0</v>
      </c>
    </row>
    <row r="633" spans="1:7" s="435" customFormat="1" hidden="1" x14ac:dyDescent="0.3">
      <c r="A633" s="1848"/>
      <c r="B633" s="965"/>
      <c r="C633" s="1438">
        <f t="shared" si="35"/>
        <v>0</v>
      </c>
      <c r="D633" s="1444"/>
      <c r="E633" s="1445"/>
      <c r="F633" s="829"/>
      <c r="G633" s="829">
        <f t="shared" si="34"/>
        <v>0</v>
      </c>
    </row>
    <row r="634" spans="1:7" s="435" customFormat="1" hidden="1" x14ac:dyDescent="0.3">
      <c r="A634" s="1848"/>
      <c r="B634" s="965"/>
      <c r="C634" s="1438">
        <f t="shared" si="35"/>
        <v>0</v>
      </c>
      <c r="D634" s="1444"/>
      <c r="E634" s="1445"/>
      <c r="F634" s="829"/>
      <c r="G634" s="829">
        <f t="shared" si="34"/>
        <v>0</v>
      </c>
    </row>
    <row r="635" spans="1:7" s="435" customFormat="1" hidden="1" x14ac:dyDescent="0.3">
      <c r="A635" s="1848"/>
      <c r="B635" s="965"/>
      <c r="C635" s="1438">
        <f t="shared" si="35"/>
        <v>0</v>
      </c>
      <c r="D635" s="1444"/>
      <c r="E635" s="1445"/>
      <c r="F635" s="829"/>
      <c r="G635" s="829">
        <f t="shared" si="34"/>
        <v>0</v>
      </c>
    </row>
    <row r="636" spans="1:7" s="435" customFormat="1" hidden="1" x14ac:dyDescent="0.3">
      <c r="A636" s="1848"/>
      <c r="B636" s="862"/>
      <c r="C636" s="1438">
        <f t="shared" si="35"/>
        <v>0</v>
      </c>
      <c r="D636" s="1439"/>
      <c r="E636" s="1440"/>
      <c r="F636" s="829">
        <f t="shared" ref="F636:F647" si="36">E636+D636-C636</f>
        <v>0</v>
      </c>
      <c r="G636" s="829">
        <f t="shared" si="34"/>
        <v>0</v>
      </c>
    </row>
    <row r="637" spans="1:7" s="435" customFormat="1" hidden="1" x14ac:dyDescent="0.3">
      <c r="A637" s="1848"/>
      <c r="B637" s="862"/>
      <c r="C637" s="1438">
        <f t="shared" si="35"/>
        <v>0</v>
      </c>
      <c r="D637" s="1439"/>
      <c r="E637" s="1440"/>
      <c r="F637" s="829">
        <f t="shared" si="36"/>
        <v>0</v>
      </c>
      <c r="G637" s="829">
        <f t="shared" si="34"/>
        <v>0</v>
      </c>
    </row>
    <row r="638" spans="1:7" s="435" customFormat="1" x14ac:dyDescent="0.3">
      <c r="A638" s="1848"/>
      <c r="B638" s="862" t="s">
        <v>740</v>
      </c>
      <c r="C638" s="1438">
        <f>SUM(C602:C637)</f>
        <v>2911370</v>
      </c>
      <c r="D638" s="1438">
        <f>SUM(D602:D637)</f>
        <v>1889370</v>
      </c>
      <c r="E638" s="1438">
        <f>SUM(E602:E637)</f>
        <v>1022000</v>
      </c>
      <c r="F638" s="829">
        <f t="shared" si="36"/>
        <v>0</v>
      </c>
      <c r="G638" s="829">
        <f t="shared" si="34"/>
        <v>5822740</v>
      </c>
    </row>
    <row r="639" spans="1:7" s="435" customFormat="1" ht="75" x14ac:dyDescent="0.3">
      <c r="A639" s="1848" t="s">
        <v>1105</v>
      </c>
      <c r="B639" s="507" t="s">
        <v>617</v>
      </c>
      <c r="C639" s="565">
        <v>2000</v>
      </c>
      <c r="D639" s="565">
        <v>2000</v>
      </c>
      <c r="E639" s="586"/>
      <c r="F639" s="829">
        <f t="shared" si="36"/>
        <v>0</v>
      </c>
      <c r="G639" s="829">
        <f t="shared" si="34"/>
        <v>4000</v>
      </c>
    </row>
    <row r="640" spans="1:7" s="435" customFormat="1" ht="37.5" x14ac:dyDescent="0.3">
      <c r="A640" s="1848"/>
      <c r="B640" s="1121" t="s">
        <v>1274</v>
      </c>
      <c r="C640" s="1634">
        <v>170000</v>
      </c>
      <c r="D640" s="1622">
        <v>170000</v>
      </c>
      <c r="E640" s="1440"/>
      <c r="F640" s="829">
        <f t="shared" si="36"/>
        <v>0</v>
      </c>
      <c r="G640" s="829">
        <f t="shared" si="34"/>
        <v>340000</v>
      </c>
    </row>
    <row r="641" spans="1:7" s="435" customFormat="1" ht="93.75" x14ac:dyDescent="0.3">
      <c r="A641" s="1848"/>
      <c r="B641" s="1121" t="s">
        <v>1275</v>
      </c>
      <c r="C641" s="1634">
        <v>100000</v>
      </c>
      <c r="D641" s="1622"/>
      <c r="E641" s="1440">
        <v>100000</v>
      </c>
      <c r="F641" s="829">
        <f t="shared" si="36"/>
        <v>0</v>
      </c>
      <c r="G641" s="829">
        <f t="shared" si="34"/>
        <v>200000</v>
      </c>
    </row>
    <row r="642" spans="1:7" s="435" customFormat="1" ht="56.25" x14ac:dyDescent="0.3">
      <c r="A642" s="1848"/>
      <c r="B642" s="862" t="s">
        <v>1555</v>
      </c>
      <c r="C642" s="565">
        <v>30000</v>
      </c>
      <c r="D642" s="565">
        <v>30000</v>
      </c>
      <c r="E642" s="586"/>
      <c r="F642" s="829">
        <f t="shared" si="36"/>
        <v>0</v>
      </c>
      <c r="G642" s="829">
        <f t="shared" si="34"/>
        <v>60000</v>
      </c>
    </row>
    <row r="643" spans="1:7" s="435" customFormat="1" ht="93.75" x14ac:dyDescent="0.3">
      <c r="A643" s="1848"/>
      <c r="B643" s="506" t="s">
        <v>1936</v>
      </c>
      <c r="C643" s="882">
        <v>35000</v>
      </c>
      <c r="D643" s="882">
        <v>35000</v>
      </c>
      <c r="E643" s="883"/>
      <c r="F643" s="829">
        <f t="shared" si="36"/>
        <v>0</v>
      </c>
      <c r="G643" s="829">
        <f t="shared" si="34"/>
        <v>70000</v>
      </c>
    </row>
    <row r="644" spans="1:7" s="435" customFormat="1" ht="93.75" x14ac:dyDescent="0.3">
      <c r="A644" s="1848"/>
      <c r="B644" s="506" t="s">
        <v>1794</v>
      </c>
      <c r="C644" s="1438">
        <v>300000</v>
      </c>
      <c r="D644" s="565"/>
      <c r="E644" s="565">
        <v>300000</v>
      </c>
      <c r="F644" s="829">
        <f t="shared" si="36"/>
        <v>0</v>
      </c>
      <c r="G644" s="829">
        <f t="shared" si="34"/>
        <v>600000</v>
      </c>
    </row>
    <row r="645" spans="1:7" s="435" customFormat="1" ht="56.25" x14ac:dyDescent="0.3">
      <c r="A645" s="1848"/>
      <c r="B645" s="506" t="s">
        <v>1660</v>
      </c>
      <c r="C645" s="1438">
        <v>35000</v>
      </c>
      <c r="D645" s="565"/>
      <c r="E645" s="565">
        <v>35000</v>
      </c>
      <c r="F645" s="829">
        <f t="shared" si="36"/>
        <v>0</v>
      </c>
      <c r="G645" s="829">
        <f t="shared" si="34"/>
        <v>70000</v>
      </c>
    </row>
    <row r="646" spans="1:7" s="435" customFormat="1" ht="75" x14ac:dyDescent="0.3">
      <c r="A646" s="1848"/>
      <c r="B646" s="506" t="s">
        <v>1661</v>
      </c>
      <c r="C646" s="1438">
        <v>50000</v>
      </c>
      <c r="D646" s="565">
        <v>50000</v>
      </c>
      <c r="E646" s="565"/>
      <c r="F646" s="829">
        <f t="shared" si="36"/>
        <v>0</v>
      </c>
      <c r="G646" s="829">
        <f t="shared" si="34"/>
        <v>100000</v>
      </c>
    </row>
    <row r="647" spans="1:7" s="435" customFormat="1" ht="93.75" x14ac:dyDescent="0.3">
      <c r="A647" s="1848"/>
      <c r="B647" s="862" t="s">
        <v>1662</v>
      </c>
      <c r="C647" s="1438">
        <v>50000</v>
      </c>
      <c r="D647" s="565">
        <v>50000</v>
      </c>
      <c r="E647" s="565"/>
      <c r="F647" s="829">
        <f t="shared" si="36"/>
        <v>0</v>
      </c>
      <c r="G647" s="829">
        <f t="shared" si="34"/>
        <v>100000</v>
      </c>
    </row>
    <row r="648" spans="1:7" s="435" customFormat="1" ht="93.75" x14ac:dyDescent="0.3">
      <c r="A648" s="1848"/>
      <c r="B648" s="862" t="s">
        <v>2024</v>
      </c>
      <c r="C648" s="1627">
        <v>30000</v>
      </c>
      <c r="D648" s="1627">
        <v>30000</v>
      </c>
      <c r="E648" s="1627"/>
      <c r="F648" s="829"/>
      <c r="G648" s="829">
        <f t="shared" si="34"/>
        <v>60000</v>
      </c>
    </row>
    <row r="649" spans="1:7" s="435" customFormat="1" x14ac:dyDescent="0.3">
      <c r="A649" s="1848"/>
      <c r="B649" s="862" t="s">
        <v>2025</v>
      </c>
      <c r="C649" s="1627">
        <v>100000</v>
      </c>
      <c r="D649" s="1627"/>
      <c r="E649" s="1627">
        <v>100000</v>
      </c>
      <c r="F649" s="829"/>
      <c r="G649" s="829">
        <f t="shared" ref="G649:G712" si="37">SUM(C649:E649)</f>
        <v>200000</v>
      </c>
    </row>
    <row r="650" spans="1:7" s="435" customFormat="1" ht="75" x14ac:dyDescent="0.3">
      <c r="A650" s="1848"/>
      <c r="B650" s="1628" t="s">
        <v>2161</v>
      </c>
      <c r="C650" s="1625">
        <v>30000</v>
      </c>
      <c r="D650" s="1625">
        <v>30000</v>
      </c>
      <c r="E650" s="1625"/>
      <c r="F650" s="829"/>
      <c r="G650" s="829">
        <f t="shared" si="37"/>
        <v>60000</v>
      </c>
    </row>
    <row r="651" spans="1:7" s="435" customFormat="1" ht="56.25" x14ac:dyDescent="0.3">
      <c r="A651" s="1848"/>
      <c r="B651" s="1628" t="s">
        <v>2162</v>
      </c>
      <c r="C651" s="1625">
        <v>50000</v>
      </c>
      <c r="D651" s="1625">
        <v>50000</v>
      </c>
      <c r="E651" s="1625"/>
      <c r="F651" s="829"/>
      <c r="G651" s="829">
        <f t="shared" si="37"/>
        <v>100000</v>
      </c>
    </row>
    <row r="652" spans="1:7" s="435" customFormat="1" hidden="1" x14ac:dyDescent="0.3">
      <c r="A652" s="1848"/>
      <c r="B652" s="985"/>
      <c r="C652" s="1441"/>
      <c r="D652" s="1452"/>
      <c r="E652" s="1452"/>
      <c r="F652" s="829"/>
      <c r="G652" s="829">
        <f t="shared" si="37"/>
        <v>0</v>
      </c>
    </row>
    <row r="653" spans="1:7" s="435" customFormat="1" hidden="1" x14ac:dyDescent="0.3">
      <c r="A653" s="1848"/>
      <c r="B653" s="985"/>
      <c r="C653" s="1441"/>
      <c r="D653" s="1452"/>
      <c r="E653" s="1452"/>
      <c r="F653" s="829"/>
      <c r="G653" s="829">
        <f t="shared" si="37"/>
        <v>0</v>
      </c>
    </row>
    <row r="654" spans="1:7" s="435" customFormat="1" hidden="1" x14ac:dyDescent="0.3">
      <c r="A654" s="1848"/>
      <c r="B654" s="985"/>
      <c r="C654" s="1441"/>
      <c r="D654" s="1452"/>
      <c r="E654" s="1452"/>
      <c r="F654" s="829"/>
      <c r="G654" s="829">
        <f t="shared" si="37"/>
        <v>0</v>
      </c>
    </row>
    <row r="655" spans="1:7" s="435" customFormat="1" hidden="1" x14ac:dyDescent="0.3">
      <c r="A655" s="1848"/>
      <c r="B655" s="985"/>
      <c r="C655" s="1441"/>
      <c r="D655" s="1452"/>
      <c r="E655" s="1452"/>
      <c r="F655" s="829"/>
      <c r="G655" s="829">
        <f t="shared" si="37"/>
        <v>0</v>
      </c>
    </row>
    <row r="656" spans="1:7" s="435" customFormat="1" hidden="1" x14ac:dyDescent="0.3">
      <c r="A656" s="1848"/>
      <c r="B656" s="985"/>
      <c r="C656" s="1441"/>
      <c r="D656" s="1452"/>
      <c r="E656" s="1452"/>
      <c r="F656" s="829"/>
      <c r="G656" s="829">
        <f t="shared" si="37"/>
        <v>0</v>
      </c>
    </row>
    <row r="657" spans="1:7" s="435" customFormat="1" hidden="1" x14ac:dyDescent="0.3">
      <c r="A657" s="1848"/>
      <c r="B657" s="985"/>
      <c r="C657" s="1441"/>
      <c r="D657" s="1452"/>
      <c r="E657" s="1452"/>
      <c r="F657" s="829"/>
      <c r="G657" s="829">
        <f t="shared" si="37"/>
        <v>0</v>
      </c>
    </row>
    <row r="658" spans="1:7" s="435" customFormat="1" hidden="1" x14ac:dyDescent="0.3">
      <c r="A658" s="1848"/>
      <c r="B658" s="985"/>
      <c r="C658" s="1441"/>
      <c r="D658" s="1452"/>
      <c r="E658" s="1452"/>
      <c r="F658" s="829"/>
      <c r="G658" s="829">
        <f t="shared" si="37"/>
        <v>0</v>
      </c>
    </row>
    <row r="659" spans="1:7" s="435" customFormat="1" hidden="1" x14ac:dyDescent="0.3">
      <c r="A659" s="1848"/>
      <c r="B659" s="985"/>
      <c r="C659" s="1441"/>
      <c r="D659" s="1452"/>
      <c r="E659" s="1452"/>
      <c r="F659" s="829"/>
      <c r="G659" s="829">
        <f t="shared" si="37"/>
        <v>0</v>
      </c>
    </row>
    <row r="660" spans="1:7" s="435" customFormat="1" hidden="1" x14ac:dyDescent="0.3">
      <c r="A660" s="1848"/>
      <c r="B660" s="985"/>
      <c r="C660" s="1441"/>
      <c r="D660" s="1452"/>
      <c r="E660" s="1452"/>
      <c r="F660" s="829"/>
      <c r="G660" s="829">
        <f t="shared" si="37"/>
        <v>0</v>
      </c>
    </row>
    <row r="661" spans="1:7" s="435" customFormat="1" hidden="1" x14ac:dyDescent="0.3">
      <c r="A661" s="1848"/>
      <c r="B661" s="985"/>
      <c r="C661" s="1441"/>
      <c r="D661" s="1452"/>
      <c r="E661" s="1452"/>
      <c r="F661" s="829"/>
      <c r="G661" s="829">
        <f t="shared" si="37"/>
        <v>0</v>
      </c>
    </row>
    <row r="662" spans="1:7" s="435" customFormat="1" hidden="1" x14ac:dyDescent="0.3">
      <c r="A662" s="1848"/>
      <c r="B662" s="862"/>
      <c r="C662" s="1438">
        <f>SUM(D662:E662)</f>
        <v>0</v>
      </c>
      <c r="D662" s="1439"/>
      <c r="E662" s="1440"/>
      <c r="F662" s="829">
        <f t="shared" ref="F662:F676" si="38">E662+D662-C662</f>
        <v>0</v>
      </c>
      <c r="G662" s="829">
        <f t="shared" si="37"/>
        <v>0</v>
      </c>
    </row>
    <row r="663" spans="1:7" s="435" customFormat="1" x14ac:dyDescent="0.3">
      <c r="A663" s="1848"/>
      <c r="B663" s="862" t="s">
        <v>740</v>
      </c>
      <c r="C663" s="1438">
        <f>SUM(C639:C662)</f>
        <v>982000</v>
      </c>
      <c r="D663" s="1438">
        <f>SUM(D639:D662)</f>
        <v>447000</v>
      </c>
      <c r="E663" s="1438">
        <f>SUM(E639:E662)</f>
        <v>535000</v>
      </c>
      <c r="F663" s="829">
        <f t="shared" si="38"/>
        <v>0</v>
      </c>
      <c r="G663" s="829">
        <f t="shared" si="37"/>
        <v>1964000</v>
      </c>
    </row>
    <row r="664" spans="1:7" s="435" customFormat="1" ht="75" x14ac:dyDescent="0.3">
      <c r="A664" s="1848" t="s">
        <v>1106</v>
      </c>
      <c r="B664" s="507" t="s">
        <v>617</v>
      </c>
      <c r="C664" s="565">
        <v>3400</v>
      </c>
      <c r="D664" s="565">
        <v>3400</v>
      </c>
      <c r="E664" s="586"/>
      <c r="F664" s="829">
        <f t="shared" si="38"/>
        <v>0</v>
      </c>
      <c r="G664" s="829">
        <f t="shared" si="37"/>
        <v>6800</v>
      </c>
    </row>
    <row r="665" spans="1:7" s="435" customFormat="1" ht="56.25" x14ac:dyDescent="0.3">
      <c r="A665" s="1848"/>
      <c r="B665" s="1121" t="s">
        <v>1311</v>
      </c>
      <c r="C665" s="1622">
        <v>100000</v>
      </c>
      <c r="D665" s="1622">
        <v>100000</v>
      </c>
      <c r="E665" s="1440"/>
      <c r="F665" s="829">
        <f t="shared" si="38"/>
        <v>0</v>
      </c>
      <c r="G665" s="829">
        <f t="shared" si="37"/>
        <v>200000</v>
      </c>
    </row>
    <row r="666" spans="1:7" s="435" customFormat="1" ht="93.75" x14ac:dyDescent="0.3">
      <c r="A666" s="1848"/>
      <c r="B666" s="1121" t="s">
        <v>1312</v>
      </c>
      <c r="C666" s="1626">
        <v>40000</v>
      </c>
      <c r="D666" s="1622"/>
      <c r="E666" s="1440">
        <v>40000</v>
      </c>
      <c r="F666" s="829">
        <f t="shared" si="38"/>
        <v>0</v>
      </c>
      <c r="G666" s="829">
        <f t="shared" si="37"/>
        <v>80000</v>
      </c>
    </row>
    <row r="667" spans="1:7" s="435" customFormat="1" ht="75" x14ac:dyDescent="0.3">
      <c r="A667" s="1848"/>
      <c r="B667" s="1121" t="s">
        <v>1313</v>
      </c>
      <c r="C667" s="1634">
        <v>100000</v>
      </c>
      <c r="D667" s="1622">
        <v>100000</v>
      </c>
      <c r="E667" s="1440"/>
      <c r="F667" s="829">
        <f t="shared" si="38"/>
        <v>0</v>
      </c>
      <c r="G667" s="829">
        <f t="shared" si="37"/>
        <v>200000</v>
      </c>
    </row>
    <row r="668" spans="1:7" s="435" customFormat="1" ht="75" x14ac:dyDescent="0.3">
      <c r="A668" s="1848"/>
      <c r="B668" s="1121" t="s">
        <v>1314</v>
      </c>
      <c r="C668" s="1634">
        <v>40000</v>
      </c>
      <c r="D668" s="1622">
        <v>40000</v>
      </c>
      <c r="E668" s="1440"/>
      <c r="F668" s="829">
        <f t="shared" si="38"/>
        <v>0</v>
      </c>
      <c r="G668" s="829">
        <f t="shared" si="37"/>
        <v>80000</v>
      </c>
    </row>
    <row r="669" spans="1:7" s="435" customFormat="1" ht="75" x14ac:dyDescent="0.3">
      <c r="A669" s="1848"/>
      <c r="B669" s="1121" t="s">
        <v>1315</v>
      </c>
      <c r="C669" s="1634">
        <v>20000</v>
      </c>
      <c r="D669" s="1622">
        <v>20000</v>
      </c>
      <c r="E669" s="1440"/>
      <c r="F669" s="829">
        <f t="shared" si="38"/>
        <v>0</v>
      </c>
      <c r="G669" s="829">
        <f t="shared" si="37"/>
        <v>40000</v>
      </c>
    </row>
    <row r="670" spans="1:7" s="435" customFormat="1" ht="75" x14ac:dyDescent="0.3">
      <c r="A670" s="1848"/>
      <c r="B670" s="1121" t="s">
        <v>1316</v>
      </c>
      <c r="C670" s="1634">
        <v>20000</v>
      </c>
      <c r="D670" s="1622">
        <v>20000</v>
      </c>
      <c r="E670" s="1440"/>
      <c r="F670" s="829">
        <f t="shared" si="38"/>
        <v>0</v>
      </c>
      <c r="G670" s="829">
        <f t="shared" si="37"/>
        <v>40000</v>
      </c>
    </row>
    <row r="671" spans="1:7" s="435" customFormat="1" ht="75" x14ac:dyDescent="0.3">
      <c r="A671" s="1848"/>
      <c r="B671" s="1121" t="s">
        <v>1317</v>
      </c>
      <c r="C671" s="1634">
        <v>20000</v>
      </c>
      <c r="D671" s="1622">
        <v>20000</v>
      </c>
      <c r="E671" s="1440"/>
      <c r="F671" s="829">
        <f t="shared" si="38"/>
        <v>0</v>
      </c>
      <c r="G671" s="829">
        <f t="shared" si="37"/>
        <v>40000</v>
      </c>
    </row>
    <row r="672" spans="1:7" s="435" customFormat="1" ht="75" x14ac:dyDescent="0.3">
      <c r="A672" s="1848"/>
      <c r="B672" s="506" t="s">
        <v>1511</v>
      </c>
      <c r="C672" s="586">
        <v>36200</v>
      </c>
      <c r="D672" s="586">
        <v>36200</v>
      </c>
      <c r="E672" s="586"/>
      <c r="F672" s="829">
        <f t="shared" si="38"/>
        <v>0</v>
      </c>
      <c r="G672" s="829">
        <f t="shared" si="37"/>
        <v>72400</v>
      </c>
    </row>
    <row r="673" spans="1:7" s="435" customFormat="1" ht="75" x14ac:dyDescent="0.3">
      <c r="A673" s="1848"/>
      <c r="B673" s="1630" t="s">
        <v>1571</v>
      </c>
      <c r="C673" s="565">
        <v>27150</v>
      </c>
      <c r="D673" s="565"/>
      <c r="E673" s="586">
        <v>27150</v>
      </c>
      <c r="F673" s="829">
        <f t="shared" si="38"/>
        <v>0</v>
      </c>
      <c r="G673" s="829">
        <f t="shared" si="37"/>
        <v>54300</v>
      </c>
    </row>
    <row r="674" spans="1:7" s="435" customFormat="1" ht="75" x14ac:dyDescent="0.3">
      <c r="A674" s="1848"/>
      <c r="B674" s="506" t="s">
        <v>1663</v>
      </c>
      <c r="C674" s="1438">
        <f>SUM(D674:E674)</f>
        <v>120000</v>
      </c>
      <c r="D674" s="1438"/>
      <c r="E674" s="586">
        <v>120000</v>
      </c>
      <c r="F674" s="829">
        <f t="shared" si="38"/>
        <v>0</v>
      </c>
      <c r="G674" s="829">
        <f t="shared" si="37"/>
        <v>240000</v>
      </c>
    </row>
    <row r="675" spans="1:7" s="435" customFormat="1" ht="93.75" x14ac:dyDescent="0.3">
      <c r="A675" s="1848"/>
      <c r="B675" s="506" t="s">
        <v>1664</v>
      </c>
      <c r="C675" s="1438">
        <f>SUM(D675:E675)</f>
        <v>51000</v>
      </c>
      <c r="D675" s="1438"/>
      <c r="E675" s="586">
        <v>51000</v>
      </c>
      <c r="F675" s="829">
        <f t="shared" si="38"/>
        <v>0</v>
      </c>
      <c r="G675" s="829">
        <f t="shared" si="37"/>
        <v>102000</v>
      </c>
    </row>
    <row r="676" spans="1:7" s="435" customFormat="1" ht="75" x14ac:dyDescent="0.3">
      <c r="A676" s="1848"/>
      <c r="B676" s="506" t="s">
        <v>1665</v>
      </c>
      <c r="C676" s="1438">
        <f>SUM(D676:E676)</f>
        <v>79000</v>
      </c>
      <c r="D676" s="1438"/>
      <c r="E676" s="586">
        <v>79000</v>
      </c>
      <c r="F676" s="829">
        <f t="shared" si="38"/>
        <v>0</v>
      </c>
      <c r="G676" s="829">
        <f t="shared" si="37"/>
        <v>158000</v>
      </c>
    </row>
    <row r="677" spans="1:7" s="435" customFormat="1" ht="75" x14ac:dyDescent="0.3">
      <c r="A677" s="1848"/>
      <c r="B677" s="862" t="s">
        <v>2026</v>
      </c>
      <c r="C677" s="1627">
        <v>28956</v>
      </c>
      <c r="D677" s="1627"/>
      <c r="E677" s="1627">
        <v>28956</v>
      </c>
      <c r="F677" s="829"/>
      <c r="G677" s="829">
        <f t="shared" si="37"/>
        <v>57912</v>
      </c>
    </row>
    <row r="678" spans="1:7" s="435" customFormat="1" ht="75" x14ac:dyDescent="0.3">
      <c r="A678" s="1848"/>
      <c r="B678" s="862" t="s">
        <v>2027</v>
      </c>
      <c r="C678" s="1627">
        <v>8000</v>
      </c>
      <c r="D678" s="1627">
        <v>8000</v>
      </c>
      <c r="E678" s="1627"/>
      <c r="F678" s="829"/>
      <c r="G678" s="829">
        <f t="shared" si="37"/>
        <v>16000</v>
      </c>
    </row>
    <row r="679" spans="1:7" s="435" customFormat="1" ht="56.25" x14ac:dyDescent="0.3">
      <c r="A679" s="1848"/>
      <c r="B679" s="862" t="s">
        <v>2028</v>
      </c>
      <c r="C679" s="1627">
        <v>30000</v>
      </c>
      <c r="D679" s="1627">
        <v>30000</v>
      </c>
      <c r="E679" s="1627"/>
      <c r="F679" s="829"/>
      <c r="G679" s="829">
        <f t="shared" si="37"/>
        <v>60000</v>
      </c>
    </row>
    <row r="680" spans="1:7" s="435" customFormat="1" ht="93.75" x14ac:dyDescent="0.3">
      <c r="A680" s="1848"/>
      <c r="B680" s="1628" t="s">
        <v>2163</v>
      </c>
      <c r="C680" s="1558">
        <v>100000</v>
      </c>
      <c r="D680" s="1558"/>
      <c r="E680" s="1558">
        <v>100000</v>
      </c>
      <c r="F680" s="829"/>
      <c r="G680" s="829">
        <f t="shared" si="37"/>
        <v>200000</v>
      </c>
    </row>
    <row r="681" spans="1:7" s="435" customFormat="1" ht="112.5" x14ac:dyDescent="0.3">
      <c r="A681" s="1848"/>
      <c r="B681" s="1628" t="s">
        <v>2164</v>
      </c>
      <c r="C681" s="1625">
        <v>73044</v>
      </c>
      <c r="D681" s="1625">
        <v>46044</v>
      </c>
      <c r="E681" s="1625">
        <v>27000</v>
      </c>
      <c r="F681" s="829"/>
      <c r="G681" s="829">
        <f t="shared" si="37"/>
        <v>146088</v>
      </c>
    </row>
    <row r="682" spans="1:7" s="435" customFormat="1" x14ac:dyDescent="0.3">
      <c r="A682" s="1848"/>
      <c r="B682" s="862" t="s">
        <v>740</v>
      </c>
      <c r="C682" s="1438">
        <f>SUM(C664:C681)</f>
        <v>896750</v>
      </c>
      <c r="D682" s="1438">
        <f>SUM(D664:D681)</f>
        <v>423644</v>
      </c>
      <c r="E682" s="1438">
        <f>SUM(E664:E681)</f>
        <v>473106</v>
      </c>
      <c r="F682" s="829">
        <f>E682+D682-C682</f>
        <v>0</v>
      </c>
      <c r="G682" s="829">
        <f t="shared" si="37"/>
        <v>1793500</v>
      </c>
    </row>
    <row r="683" spans="1:7" s="435" customFormat="1" ht="75" x14ac:dyDescent="0.3">
      <c r="A683" s="1848" t="s">
        <v>1107</v>
      </c>
      <c r="B683" s="507" t="s">
        <v>617</v>
      </c>
      <c r="C683" s="586">
        <v>24000</v>
      </c>
      <c r="D683" s="586">
        <v>24000</v>
      </c>
      <c r="E683" s="586"/>
      <c r="F683" s="829">
        <f>E683+D683-C683</f>
        <v>0</v>
      </c>
      <c r="G683" s="829">
        <f t="shared" si="37"/>
        <v>48000</v>
      </c>
    </row>
    <row r="684" spans="1:7" s="435" customFormat="1" ht="112.5" hidden="1" x14ac:dyDescent="0.3">
      <c r="A684" s="1848"/>
      <c r="B684" s="506" t="s">
        <v>618</v>
      </c>
      <c r="C684" s="565"/>
      <c r="D684" s="1464"/>
      <c r="E684" s="586"/>
      <c r="F684" s="829">
        <f t="shared" ref="F684:F698" si="39">E684+D684-C684</f>
        <v>0</v>
      </c>
      <c r="G684" s="829">
        <f t="shared" si="37"/>
        <v>0</v>
      </c>
    </row>
    <row r="685" spans="1:7" s="435" customFormat="1" ht="112.5" x14ac:dyDescent="0.3">
      <c r="A685" s="1848"/>
      <c r="B685" s="1118" t="s">
        <v>1318</v>
      </c>
      <c r="C685" s="1439">
        <v>185000</v>
      </c>
      <c r="D685" s="1439">
        <v>185000</v>
      </c>
      <c r="E685" s="1439"/>
      <c r="F685" s="829">
        <f t="shared" si="39"/>
        <v>0</v>
      </c>
      <c r="G685" s="829">
        <f t="shared" si="37"/>
        <v>370000</v>
      </c>
    </row>
    <row r="686" spans="1:7" s="435" customFormat="1" ht="75" x14ac:dyDescent="0.3">
      <c r="A686" s="1848"/>
      <c r="B686" s="1118" t="s">
        <v>1319</v>
      </c>
      <c r="C686" s="1439">
        <v>25000</v>
      </c>
      <c r="D686" s="1439">
        <v>25000</v>
      </c>
      <c r="E686" s="1439"/>
      <c r="F686" s="829">
        <f t="shared" si="39"/>
        <v>0</v>
      </c>
      <c r="G686" s="829">
        <f t="shared" si="37"/>
        <v>50000</v>
      </c>
    </row>
    <row r="687" spans="1:7" s="435" customFormat="1" ht="75" x14ac:dyDescent="0.3">
      <c r="A687" s="1848"/>
      <c r="B687" s="1118" t="s">
        <v>1320</v>
      </c>
      <c r="C687" s="1439">
        <v>10000</v>
      </c>
      <c r="D687" s="1439">
        <v>10000</v>
      </c>
      <c r="E687" s="1439"/>
      <c r="F687" s="829">
        <f t="shared" si="39"/>
        <v>0</v>
      </c>
      <c r="G687" s="829">
        <f t="shared" si="37"/>
        <v>20000</v>
      </c>
    </row>
    <row r="688" spans="1:7" s="435" customFormat="1" ht="56.25" x14ac:dyDescent="0.3">
      <c r="A688" s="1848"/>
      <c r="B688" s="1118" t="s">
        <v>1321</v>
      </c>
      <c r="C688" s="1439">
        <v>15000</v>
      </c>
      <c r="D688" s="1439">
        <v>15000</v>
      </c>
      <c r="E688" s="1439"/>
      <c r="F688" s="829">
        <f t="shared" si="39"/>
        <v>0</v>
      </c>
      <c r="G688" s="829">
        <f t="shared" si="37"/>
        <v>30000</v>
      </c>
    </row>
    <row r="689" spans="1:7" s="435" customFormat="1" ht="75" x14ac:dyDescent="0.3">
      <c r="A689" s="1848"/>
      <c r="B689" s="1118" t="s">
        <v>1322</v>
      </c>
      <c r="C689" s="1439">
        <v>40000</v>
      </c>
      <c r="D689" s="1439">
        <v>40000</v>
      </c>
      <c r="E689" s="1439"/>
      <c r="F689" s="829">
        <f t="shared" si="39"/>
        <v>0</v>
      </c>
      <c r="G689" s="829">
        <f t="shared" si="37"/>
        <v>80000</v>
      </c>
    </row>
    <row r="690" spans="1:7" s="435" customFormat="1" ht="56.25" x14ac:dyDescent="0.3">
      <c r="A690" s="1848"/>
      <c r="B690" s="1118" t="s">
        <v>1323</v>
      </c>
      <c r="C690" s="1439">
        <v>20000</v>
      </c>
      <c r="D690" s="1439">
        <v>20000</v>
      </c>
      <c r="E690" s="1439"/>
      <c r="F690" s="829">
        <f t="shared" si="39"/>
        <v>0</v>
      </c>
      <c r="G690" s="829">
        <f t="shared" si="37"/>
        <v>40000</v>
      </c>
    </row>
    <row r="691" spans="1:7" s="435" customFormat="1" ht="56.25" x14ac:dyDescent="0.3">
      <c r="A691" s="1848"/>
      <c r="B691" s="1121" t="s">
        <v>1324</v>
      </c>
      <c r="C691" s="1622">
        <v>500000</v>
      </c>
      <c r="D691" s="1622"/>
      <c r="E691" s="1440">
        <v>500000</v>
      </c>
      <c r="F691" s="829">
        <f t="shared" si="39"/>
        <v>0</v>
      </c>
      <c r="G691" s="829">
        <f t="shared" si="37"/>
        <v>1000000</v>
      </c>
    </row>
    <row r="692" spans="1:7" s="435" customFormat="1" ht="75" x14ac:dyDescent="0.3">
      <c r="A692" s="1848"/>
      <c r="B692" s="862" t="s">
        <v>1512</v>
      </c>
      <c r="C692" s="565">
        <v>36200</v>
      </c>
      <c r="D692" s="565">
        <v>36200</v>
      </c>
      <c r="E692" s="586"/>
      <c r="F692" s="829">
        <f t="shared" si="39"/>
        <v>0</v>
      </c>
      <c r="G692" s="829">
        <f t="shared" si="37"/>
        <v>72400</v>
      </c>
    </row>
    <row r="693" spans="1:7" s="435" customFormat="1" ht="75" x14ac:dyDescent="0.3">
      <c r="A693" s="1848"/>
      <c r="B693" s="862" t="s">
        <v>1513</v>
      </c>
      <c r="C693" s="565">
        <v>36200</v>
      </c>
      <c r="D693" s="565">
        <v>36200</v>
      </c>
      <c r="E693" s="586"/>
      <c r="F693" s="829">
        <f t="shared" si="39"/>
        <v>0</v>
      </c>
      <c r="G693" s="829">
        <f t="shared" si="37"/>
        <v>72400</v>
      </c>
    </row>
    <row r="694" spans="1:7" s="435" customFormat="1" ht="37.9" customHeight="1" x14ac:dyDescent="0.3">
      <c r="A694" s="1848"/>
      <c r="B694" s="862" t="s">
        <v>1548</v>
      </c>
      <c r="C694" s="565">
        <v>55000</v>
      </c>
      <c r="D694" s="565"/>
      <c r="E694" s="586">
        <v>55000</v>
      </c>
      <c r="F694" s="829">
        <f t="shared" si="39"/>
        <v>0</v>
      </c>
      <c r="G694" s="829">
        <f t="shared" si="37"/>
        <v>110000</v>
      </c>
    </row>
    <row r="695" spans="1:7" s="435" customFormat="1" ht="37.5" x14ac:dyDescent="0.3">
      <c r="A695" s="1848"/>
      <c r="B695" s="506" t="s">
        <v>1666</v>
      </c>
      <c r="C695" s="1438">
        <f>SUM(D695:E695)</f>
        <v>40000</v>
      </c>
      <c r="D695" s="1438"/>
      <c r="E695" s="565">
        <v>40000</v>
      </c>
      <c r="F695" s="829">
        <f t="shared" si="39"/>
        <v>0</v>
      </c>
      <c r="G695" s="829">
        <f t="shared" si="37"/>
        <v>80000</v>
      </c>
    </row>
    <row r="696" spans="1:7" s="435" customFormat="1" ht="56.25" x14ac:dyDescent="0.3">
      <c r="A696" s="1848"/>
      <c r="B696" s="506" t="s">
        <v>1667</v>
      </c>
      <c r="C696" s="1438">
        <f>SUM(D696:E696)</f>
        <v>100000</v>
      </c>
      <c r="D696" s="565">
        <v>100000</v>
      </c>
      <c r="E696" s="892"/>
      <c r="F696" s="829">
        <f t="shared" si="39"/>
        <v>0</v>
      </c>
      <c r="G696" s="829">
        <f t="shared" si="37"/>
        <v>200000</v>
      </c>
    </row>
    <row r="697" spans="1:7" s="435" customFormat="1" ht="56.25" x14ac:dyDescent="0.3">
      <c r="A697" s="1848"/>
      <c r="B697" s="506" t="s">
        <v>1668</v>
      </c>
      <c r="C697" s="1438">
        <f>SUM(D697:E697)</f>
        <v>213800</v>
      </c>
      <c r="D697" s="565">
        <v>164800</v>
      </c>
      <c r="E697" s="565">
        <v>49000</v>
      </c>
      <c r="F697" s="829">
        <f t="shared" si="39"/>
        <v>0</v>
      </c>
      <c r="G697" s="829">
        <f t="shared" si="37"/>
        <v>427600</v>
      </c>
    </row>
    <row r="698" spans="1:7" s="435" customFormat="1" ht="56.25" x14ac:dyDescent="0.3">
      <c r="A698" s="1848"/>
      <c r="B698" s="862" t="s">
        <v>1669</v>
      </c>
      <c r="C698" s="1457">
        <v>463800</v>
      </c>
      <c r="D698" s="1457"/>
      <c r="E698" s="1457">
        <v>463800</v>
      </c>
      <c r="F698" s="829">
        <f t="shared" si="39"/>
        <v>0</v>
      </c>
      <c r="G698" s="829">
        <f t="shared" si="37"/>
        <v>927600</v>
      </c>
    </row>
    <row r="699" spans="1:7" s="435" customFormat="1" ht="75" x14ac:dyDescent="0.3">
      <c r="A699" s="1848"/>
      <c r="B699" s="862" t="s">
        <v>2029</v>
      </c>
      <c r="C699" s="1627">
        <v>49900</v>
      </c>
      <c r="D699" s="1627">
        <v>49900</v>
      </c>
      <c r="E699" s="1627"/>
      <c r="F699" s="829"/>
      <c r="G699" s="829">
        <f t="shared" si="37"/>
        <v>99800</v>
      </c>
    </row>
    <row r="700" spans="1:7" s="435" customFormat="1" ht="56.25" x14ac:dyDescent="0.3">
      <c r="A700" s="1848"/>
      <c r="B700" s="862" t="s">
        <v>2030</v>
      </c>
      <c r="C700" s="1627">
        <v>21000</v>
      </c>
      <c r="D700" s="1627">
        <v>21000</v>
      </c>
      <c r="E700" s="1627"/>
      <c r="F700" s="829"/>
      <c r="G700" s="829">
        <f t="shared" si="37"/>
        <v>42000</v>
      </c>
    </row>
    <row r="701" spans="1:7" s="435" customFormat="1" ht="75" x14ac:dyDescent="0.3">
      <c r="A701" s="1848"/>
      <c r="B701" s="862" t="s">
        <v>2031</v>
      </c>
      <c r="C701" s="1627">
        <v>38056</v>
      </c>
      <c r="D701" s="1627">
        <v>38056</v>
      </c>
      <c r="E701" s="1627"/>
      <c r="F701" s="829"/>
      <c r="G701" s="829">
        <f t="shared" si="37"/>
        <v>76112</v>
      </c>
    </row>
    <row r="702" spans="1:7" s="435" customFormat="1" ht="56.25" x14ac:dyDescent="0.3">
      <c r="A702" s="1848"/>
      <c r="B702" s="862" t="s">
        <v>2032</v>
      </c>
      <c r="C702" s="1627">
        <v>49956</v>
      </c>
      <c r="D702" s="1627">
        <v>49956</v>
      </c>
      <c r="E702" s="1627"/>
      <c r="F702" s="829"/>
      <c r="G702" s="829">
        <f t="shared" si="37"/>
        <v>99912</v>
      </c>
    </row>
    <row r="703" spans="1:7" s="435" customFormat="1" ht="56.25" x14ac:dyDescent="0.3">
      <c r="A703" s="1848"/>
      <c r="B703" s="862" t="s">
        <v>2032</v>
      </c>
      <c r="C703" s="1627">
        <v>49900</v>
      </c>
      <c r="D703" s="1627">
        <v>49900</v>
      </c>
      <c r="E703" s="1627"/>
      <c r="F703" s="829"/>
      <c r="G703" s="829">
        <f t="shared" si="37"/>
        <v>99800</v>
      </c>
    </row>
    <row r="704" spans="1:7" s="435" customFormat="1" ht="56.25" x14ac:dyDescent="0.3">
      <c r="A704" s="1848"/>
      <c r="B704" s="862" t="s">
        <v>2033</v>
      </c>
      <c r="C704" s="1627">
        <v>9100</v>
      </c>
      <c r="D704" s="1627">
        <v>9100</v>
      </c>
      <c r="E704" s="1627"/>
      <c r="F704" s="829"/>
      <c r="G704" s="829">
        <f t="shared" si="37"/>
        <v>18200</v>
      </c>
    </row>
    <row r="705" spans="1:7" s="435" customFormat="1" ht="37.5" x14ac:dyDescent="0.3">
      <c r="A705" s="1848"/>
      <c r="B705" s="1623" t="s">
        <v>2165</v>
      </c>
      <c r="C705" s="1631">
        <v>49900</v>
      </c>
      <c r="D705" s="1631">
        <v>49900</v>
      </c>
      <c r="E705" s="1625"/>
      <c r="F705" s="829"/>
      <c r="G705" s="829">
        <f t="shared" si="37"/>
        <v>99800</v>
      </c>
    </row>
    <row r="706" spans="1:7" s="435" customFormat="1" ht="56.25" x14ac:dyDescent="0.3">
      <c r="A706" s="1848"/>
      <c r="B706" s="1628" t="s">
        <v>2166</v>
      </c>
      <c r="C706" s="1640">
        <v>49900</v>
      </c>
      <c r="D706" s="1625"/>
      <c r="E706" s="1625">
        <v>49900</v>
      </c>
      <c r="F706" s="829"/>
      <c r="G706" s="829">
        <f t="shared" si="37"/>
        <v>99800</v>
      </c>
    </row>
    <row r="707" spans="1:7" s="435" customFormat="1" ht="56.25" x14ac:dyDescent="0.3">
      <c r="A707" s="1848"/>
      <c r="B707" s="1628" t="s">
        <v>2167</v>
      </c>
      <c r="C707" s="1640">
        <v>49900</v>
      </c>
      <c r="D707" s="1625"/>
      <c r="E707" s="1625">
        <v>49900</v>
      </c>
      <c r="F707" s="829"/>
      <c r="G707" s="829">
        <f t="shared" si="37"/>
        <v>99800</v>
      </c>
    </row>
    <row r="708" spans="1:7" s="435" customFormat="1" ht="56.25" x14ac:dyDescent="0.3">
      <c r="A708" s="1848"/>
      <c r="B708" s="1628" t="s">
        <v>2168</v>
      </c>
      <c r="C708" s="1640">
        <v>31244</v>
      </c>
      <c r="D708" s="1625">
        <v>31244</v>
      </c>
      <c r="E708" s="1625"/>
      <c r="F708" s="829"/>
      <c r="G708" s="829">
        <f t="shared" si="37"/>
        <v>62488</v>
      </c>
    </row>
    <row r="709" spans="1:7" s="435" customFormat="1" ht="56.25" x14ac:dyDescent="0.3">
      <c r="A709" s="1848"/>
      <c r="B709" s="1628" t="s">
        <v>2241</v>
      </c>
      <c r="C709" s="1625">
        <v>64000</v>
      </c>
      <c r="D709" s="1625">
        <v>14100</v>
      </c>
      <c r="E709" s="1625">
        <v>49900</v>
      </c>
      <c r="F709" s="829"/>
      <c r="G709" s="829">
        <f t="shared" si="37"/>
        <v>128000</v>
      </c>
    </row>
    <row r="710" spans="1:7" s="435" customFormat="1" ht="56.25" x14ac:dyDescent="0.3">
      <c r="A710" s="1848"/>
      <c r="B710" s="1628" t="s">
        <v>2242</v>
      </c>
      <c r="C710" s="1625">
        <v>20000</v>
      </c>
      <c r="D710" s="1625"/>
      <c r="E710" s="1625">
        <v>20000</v>
      </c>
      <c r="F710" s="829"/>
      <c r="G710" s="829">
        <f t="shared" si="37"/>
        <v>40000</v>
      </c>
    </row>
    <row r="711" spans="1:7" s="435" customFormat="1" ht="75" x14ac:dyDescent="0.3">
      <c r="A711" s="1848"/>
      <c r="B711" s="1628" t="s">
        <v>2243</v>
      </c>
      <c r="C711" s="1625">
        <v>49900</v>
      </c>
      <c r="D711" s="1625">
        <v>49900</v>
      </c>
      <c r="E711" s="1625"/>
      <c r="F711" s="829"/>
      <c r="G711" s="829">
        <f t="shared" si="37"/>
        <v>99800</v>
      </c>
    </row>
    <row r="712" spans="1:7" s="435" customFormat="1" ht="93.75" x14ac:dyDescent="0.3">
      <c r="A712" s="1848"/>
      <c r="B712" s="1628" t="s">
        <v>2169</v>
      </c>
      <c r="C712" s="1625">
        <v>7194</v>
      </c>
      <c r="D712" s="1625"/>
      <c r="E712" s="1625">
        <v>7194</v>
      </c>
      <c r="F712" s="829"/>
      <c r="G712" s="829">
        <f t="shared" si="37"/>
        <v>14388</v>
      </c>
    </row>
    <row r="713" spans="1:7" s="435" customFormat="1" hidden="1" x14ac:dyDescent="0.3">
      <c r="A713" s="1848"/>
      <c r="B713" s="985"/>
      <c r="C713" s="1442"/>
      <c r="D713" s="1442"/>
      <c r="E713" s="1442"/>
      <c r="F713" s="829"/>
      <c r="G713" s="829">
        <f t="shared" ref="G713:G776" si="40">SUM(C713:E713)</f>
        <v>0</v>
      </c>
    </row>
    <row r="714" spans="1:7" s="435" customFormat="1" hidden="1" x14ac:dyDescent="0.3">
      <c r="A714" s="1848"/>
      <c r="B714" s="985"/>
      <c r="C714" s="1442"/>
      <c r="D714" s="1442"/>
      <c r="E714" s="1442"/>
      <c r="F714" s="829"/>
      <c r="G714" s="829">
        <f t="shared" si="40"/>
        <v>0</v>
      </c>
    </row>
    <row r="715" spans="1:7" s="435" customFormat="1" hidden="1" x14ac:dyDescent="0.3">
      <c r="A715" s="1848"/>
      <c r="B715" s="985"/>
      <c r="C715" s="1442"/>
      <c r="D715" s="1442"/>
      <c r="E715" s="1442"/>
      <c r="F715" s="829"/>
      <c r="G715" s="829">
        <f t="shared" si="40"/>
        <v>0</v>
      </c>
    </row>
    <row r="716" spans="1:7" s="435" customFormat="1" hidden="1" x14ac:dyDescent="0.3">
      <c r="A716" s="1848"/>
      <c r="B716" s="985"/>
      <c r="C716" s="1442"/>
      <c r="D716" s="1442"/>
      <c r="E716" s="1442"/>
      <c r="F716" s="829"/>
      <c r="G716" s="829">
        <f t="shared" si="40"/>
        <v>0</v>
      </c>
    </row>
    <row r="717" spans="1:7" s="435" customFormat="1" hidden="1" x14ac:dyDescent="0.3">
      <c r="A717" s="1848"/>
      <c r="B717" s="985"/>
      <c r="C717" s="1442"/>
      <c r="D717" s="1442"/>
      <c r="E717" s="1442"/>
      <c r="F717" s="829"/>
      <c r="G717" s="829">
        <f t="shared" si="40"/>
        <v>0</v>
      </c>
    </row>
    <row r="718" spans="1:7" s="435" customFormat="1" hidden="1" x14ac:dyDescent="0.3">
      <c r="A718" s="1848"/>
      <c r="B718" s="985"/>
      <c r="C718" s="1442"/>
      <c r="D718" s="1442"/>
      <c r="E718" s="1442"/>
      <c r="F718" s="829"/>
      <c r="G718" s="829">
        <f t="shared" si="40"/>
        <v>0</v>
      </c>
    </row>
    <row r="719" spans="1:7" s="435" customFormat="1" hidden="1" x14ac:dyDescent="0.3">
      <c r="A719" s="1848"/>
      <c r="B719" s="985"/>
      <c r="C719" s="1442"/>
      <c r="D719" s="1442"/>
      <c r="E719" s="1442"/>
      <c r="F719" s="829"/>
      <c r="G719" s="829">
        <f t="shared" si="40"/>
        <v>0</v>
      </c>
    </row>
    <row r="720" spans="1:7" s="435" customFormat="1" hidden="1" x14ac:dyDescent="0.3">
      <c r="A720" s="1848"/>
      <c r="B720" s="985"/>
      <c r="C720" s="1442"/>
      <c r="D720" s="1442"/>
      <c r="E720" s="1442"/>
      <c r="F720" s="829"/>
      <c r="G720" s="829">
        <f t="shared" si="40"/>
        <v>0</v>
      </c>
    </row>
    <row r="721" spans="1:7" s="435" customFormat="1" hidden="1" x14ac:dyDescent="0.3">
      <c r="A721" s="1848"/>
      <c r="B721" s="985"/>
      <c r="C721" s="1442"/>
      <c r="D721" s="1442"/>
      <c r="E721" s="1442"/>
      <c r="F721" s="829"/>
      <c r="G721" s="829">
        <f t="shared" si="40"/>
        <v>0</v>
      </c>
    </row>
    <row r="722" spans="1:7" s="435" customFormat="1" hidden="1" x14ac:dyDescent="0.3">
      <c r="A722" s="1848"/>
      <c r="B722" s="985"/>
      <c r="C722" s="1442"/>
      <c r="D722" s="1442"/>
      <c r="E722" s="1442"/>
      <c r="F722" s="829"/>
      <c r="G722" s="829">
        <f t="shared" si="40"/>
        <v>0</v>
      </c>
    </row>
    <row r="723" spans="1:7" s="435" customFormat="1" hidden="1" x14ac:dyDescent="0.3">
      <c r="A723" s="1848"/>
      <c r="B723" s="985"/>
      <c r="C723" s="1442"/>
      <c r="D723" s="1442"/>
      <c r="E723" s="1442"/>
      <c r="F723" s="829"/>
      <c r="G723" s="829">
        <f t="shared" si="40"/>
        <v>0</v>
      </c>
    </row>
    <row r="724" spans="1:7" s="435" customFormat="1" hidden="1" x14ac:dyDescent="0.3">
      <c r="A724" s="1848"/>
      <c r="B724" s="985"/>
      <c r="C724" s="1442"/>
      <c r="D724" s="1442"/>
      <c r="E724" s="1442"/>
      <c r="F724" s="829"/>
      <c r="G724" s="829">
        <f t="shared" si="40"/>
        <v>0</v>
      </c>
    </row>
    <row r="725" spans="1:7" s="435" customFormat="1" hidden="1" x14ac:dyDescent="0.3">
      <c r="A725" s="1848"/>
      <c r="B725" s="985"/>
      <c r="C725" s="1442"/>
      <c r="D725" s="1442"/>
      <c r="E725" s="1442"/>
      <c r="F725" s="829"/>
      <c r="G725" s="829">
        <f t="shared" si="40"/>
        <v>0</v>
      </c>
    </row>
    <row r="726" spans="1:7" s="435" customFormat="1" hidden="1" x14ac:dyDescent="0.3">
      <c r="A726" s="1848"/>
      <c r="B726" s="985"/>
      <c r="C726" s="1442"/>
      <c r="D726" s="1442"/>
      <c r="E726" s="1442"/>
      <c r="F726" s="829"/>
      <c r="G726" s="829">
        <f t="shared" si="40"/>
        <v>0</v>
      </c>
    </row>
    <row r="727" spans="1:7" s="435" customFormat="1" hidden="1" x14ac:dyDescent="0.3">
      <c r="A727" s="1848"/>
      <c r="B727" s="994"/>
      <c r="C727" s="1437"/>
      <c r="D727" s="1437"/>
      <c r="E727" s="820"/>
      <c r="F727" s="829"/>
      <c r="G727" s="829">
        <f t="shared" si="40"/>
        <v>0</v>
      </c>
    </row>
    <row r="728" spans="1:7" s="435" customFormat="1" hidden="1" x14ac:dyDescent="0.3">
      <c r="A728" s="1848"/>
      <c r="B728" s="994"/>
      <c r="C728" s="1437"/>
      <c r="D728" s="1437"/>
      <c r="E728" s="820"/>
      <c r="F728" s="829"/>
      <c r="G728" s="829">
        <f t="shared" si="40"/>
        <v>0</v>
      </c>
    </row>
    <row r="729" spans="1:7" s="435" customFormat="1" hidden="1" x14ac:dyDescent="0.3">
      <c r="A729" s="1848"/>
      <c r="B729" s="994"/>
      <c r="C729" s="1437"/>
      <c r="D729" s="1437"/>
      <c r="E729" s="820"/>
      <c r="F729" s="829"/>
      <c r="G729" s="829">
        <f t="shared" si="40"/>
        <v>0</v>
      </c>
    </row>
    <row r="730" spans="1:7" s="435" customFormat="1" hidden="1" x14ac:dyDescent="0.3">
      <c r="A730" s="1848"/>
      <c r="B730" s="862"/>
      <c r="C730" s="1438">
        <f>SUM(D730:E730)</f>
        <v>0</v>
      </c>
      <c r="D730" s="1439"/>
      <c r="E730" s="1440"/>
      <c r="F730" s="829">
        <f t="shared" ref="F730:F771" si="41">E730+D730-C730</f>
        <v>0</v>
      </c>
      <c r="G730" s="829">
        <f t="shared" si="40"/>
        <v>0</v>
      </c>
    </row>
    <row r="731" spans="1:7" s="435" customFormat="1" ht="18" customHeight="1" x14ac:dyDescent="0.3">
      <c r="A731" s="1848"/>
      <c r="B731" s="862" t="s">
        <v>740</v>
      </c>
      <c r="C731" s="1438">
        <f>SUM(C683:C730)</f>
        <v>2303950</v>
      </c>
      <c r="D731" s="1438">
        <f>SUM(D683:D730)</f>
        <v>1019256</v>
      </c>
      <c r="E731" s="1438">
        <f>SUM(E683:E730)</f>
        <v>1284694</v>
      </c>
      <c r="F731" s="829">
        <f t="shared" si="41"/>
        <v>0</v>
      </c>
      <c r="G731" s="829">
        <f t="shared" si="40"/>
        <v>4607900</v>
      </c>
    </row>
    <row r="732" spans="1:7" s="435" customFormat="1" ht="75" x14ac:dyDescent="0.3">
      <c r="A732" s="1848" t="s">
        <v>1108</v>
      </c>
      <c r="B732" s="507" t="s">
        <v>617</v>
      </c>
      <c r="C732" s="565">
        <v>5500</v>
      </c>
      <c r="D732" s="565">
        <v>5500</v>
      </c>
      <c r="E732" s="586"/>
      <c r="F732" s="829">
        <f t="shared" si="41"/>
        <v>0</v>
      </c>
      <c r="G732" s="829">
        <f t="shared" si="40"/>
        <v>11000</v>
      </c>
    </row>
    <row r="733" spans="1:7" s="435" customFormat="1" ht="56.25" x14ac:dyDescent="0.3">
      <c r="A733" s="1848"/>
      <c r="B733" s="1121" t="s">
        <v>1238</v>
      </c>
      <c r="C733" s="1626">
        <v>140000</v>
      </c>
      <c r="D733" s="1635"/>
      <c r="E733" s="1635">
        <v>140000</v>
      </c>
      <c r="F733" s="829">
        <f t="shared" si="41"/>
        <v>0</v>
      </c>
      <c r="G733" s="829">
        <f t="shared" si="40"/>
        <v>280000</v>
      </c>
    </row>
    <row r="734" spans="1:7" ht="75" x14ac:dyDescent="0.3">
      <c r="A734" s="1848"/>
      <c r="B734" s="1628" t="s">
        <v>2170</v>
      </c>
      <c r="C734" s="1631">
        <v>2902</v>
      </c>
      <c r="D734" s="1631">
        <v>2902</v>
      </c>
      <c r="E734" s="1625"/>
      <c r="F734" s="829">
        <f t="shared" si="41"/>
        <v>0</v>
      </c>
      <c r="G734" s="829">
        <f t="shared" si="40"/>
        <v>5804</v>
      </c>
    </row>
    <row r="735" spans="1:7" ht="75" x14ac:dyDescent="0.3">
      <c r="A735" s="1848"/>
      <c r="B735" s="1628" t="s">
        <v>2170</v>
      </c>
      <c r="C735" s="1625">
        <v>107098</v>
      </c>
      <c r="D735" s="1625">
        <v>42442</v>
      </c>
      <c r="E735" s="1625">
        <v>64656</v>
      </c>
      <c r="F735" s="829">
        <f t="shared" si="41"/>
        <v>0</v>
      </c>
      <c r="G735" s="829">
        <f t="shared" si="40"/>
        <v>214196</v>
      </c>
    </row>
    <row r="736" spans="1:7" hidden="1" x14ac:dyDescent="0.3">
      <c r="A736" s="1848"/>
      <c r="B736" s="862"/>
      <c r="C736" s="1438">
        <f t="shared" ref="C736:C741" si="42">SUM(D736:E736)</f>
        <v>0</v>
      </c>
      <c r="D736" s="1439"/>
      <c r="E736" s="1440"/>
      <c r="F736" s="829">
        <f t="shared" si="41"/>
        <v>0</v>
      </c>
      <c r="G736" s="829">
        <f t="shared" si="40"/>
        <v>0</v>
      </c>
    </row>
    <row r="737" spans="1:7" hidden="1" x14ac:dyDescent="0.3">
      <c r="A737" s="1848"/>
      <c r="B737" s="862"/>
      <c r="C737" s="1438">
        <f t="shared" si="42"/>
        <v>0</v>
      </c>
      <c r="D737" s="1439"/>
      <c r="E737" s="1440"/>
      <c r="F737" s="829">
        <f t="shared" si="41"/>
        <v>0</v>
      </c>
      <c r="G737" s="829">
        <f t="shared" si="40"/>
        <v>0</v>
      </c>
    </row>
    <row r="738" spans="1:7" hidden="1" x14ac:dyDescent="0.3">
      <c r="A738" s="1848"/>
      <c r="B738" s="862"/>
      <c r="C738" s="1438">
        <f t="shared" si="42"/>
        <v>0</v>
      </c>
      <c r="D738" s="1439"/>
      <c r="E738" s="1440"/>
      <c r="F738" s="829">
        <f t="shared" si="41"/>
        <v>0</v>
      </c>
      <c r="G738" s="829">
        <f t="shared" si="40"/>
        <v>0</v>
      </c>
    </row>
    <row r="739" spans="1:7" s="435" customFormat="1" hidden="1" x14ac:dyDescent="0.3">
      <c r="A739" s="1848"/>
      <c r="B739" s="862"/>
      <c r="C739" s="1438">
        <f t="shared" si="42"/>
        <v>0</v>
      </c>
      <c r="D739" s="1439"/>
      <c r="E739" s="1440"/>
      <c r="F739" s="829">
        <f t="shared" si="41"/>
        <v>0</v>
      </c>
      <c r="G739" s="829">
        <f t="shared" si="40"/>
        <v>0</v>
      </c>
    </row>
    <row r="740" spans="1:7" hidden="1" x14ac:dyDescent="0.3">
      <c r="A740" s="1848"/>
      <c r="B740" s="862"/>
      <c r="C740" s="1438">
        <f t="shared" si="42"/>
        <v>0</v>
      </c>
      <c r="D740" s="1439"/>
      <c r="E740" s="1440"/>
      <c r="F740" s="829">
        <f t="shared" si="41"/>
        <v>0</v>
      </c>
      <c r="G740" s="829">
        <f t="shared" si="40"/>
        <v>0</v>
      </c>
    </row>
    <row r="741" spans="1:7" s="435" customFormat="1" hidden="1" x14ac:dyDescent="0.3">
      <c r="A741" s="1848"/>
      <c r="B741" s="862"/>
      <c r="C741" s="1438">
        <f t="shared" si="42"/>
        <v>0</v>
      </c>
      <c r="D741" s="1439"/>
      <c r="E741" s="1440"/>
      <c r="F741" s="829">
        <f t="shared" si="41"/>
        <v>0</v>
      </c>
      <c r="G741" s="829">
        <f t="shared" si="40"/>
        <v>0</v>
      </c>
    </row>
    <row r="742" spans="1:7" s="435" customFormat="1" x14ac:dyDescent="0.3">
      <c r="A742" s="1848"/>
      <c r="B742" s="862" t="s">
        <v>740</v>
      </c>
      <c r="C742" s="1438">
        <f>SUM(C732:C741)</f>
        <v>255500</v>
      </c>
      <c r="D742" s="1438">
        <f>SUM(D732:D741)</f>
        <v>50844</v>
      </c>
      <c r="E742" s="1438">
        <f>SUM(E732:E741)</f>
        <v>204656</v>
      </c>
      <c r="F742" s="829">
        <f t="shared" si="41"/>
        <v>0</v>
      </c>
      <c r="G742" s="829">
        <f t="shared" si="40"/>
        <v>511000</v>
      </c>
    </row>
    <row r="743" spans="1:7" s="435" customFormat="1" ht="75" x14ac:dyDescent="0.3">
      <c r="A743" s="1848" t="s">
        <v>1109</v>
      </c>
      <c r="B743" s="507" t="s">
        <v>617</v>
      </c>
      <c r="C743" s="586">
        <v>6500</v>
      </c>
      <c r="D743" s="586">
        <v>6500</v>
      </c>
      <c r="E743" s="1465"/>
      <c r="F743" s="829">
        <f t="shared" si="41"/>
        <v>0</v>
      </c>
      <c r="G743" s="829">
        <f t="shared" si="40"/>
        <v>13000</v>
      </c>
    </row>
    <row r="744" spans="1:7" s="435" customFormat="1" ht="37.5" x14ac:dyDescent="0.3">
      <c r="A744" s="1848"/>
      <c r="B744" s="1121" t="s">
        <v>1306</v>
      </c>
      <c r="C744" s="1466">
        <v>80000</v>
      </c>
      <c r="D744" s="1440"/>
      <c r="E744" s="1440">
        <v>80000</v>
      </c>
      <c r="F744" s="829">
        <f t="shared" si="41"/>
        <v>0</v>
      </c>
      <c r="G744" s="829">
        <f t="shared" si="40"/>
        <v>160000</v>
      </c>
    </row>
    <row r="745" spans="1:7" s="435" customFormat="1" ht="37.5" x14ac:dyDescent="0.3">
      <c r="A745" s="1848"/>
      <c r="B745" s="1628" t="s">
        <v>2171</v>
      </c>
      <c r="C745" s="1631">
        <v>49950</v>
      </c>
      <c r="D745" s="1631"/>
      <c r="E745" s="1625">
        <v>49950</v>
      </c>
      <c r="F745" s="829">
        <f t="shared" si="41"/>
        <v>0</v>
      </c>
      <c r="G745" s="829">
        <f t="shared" si="40"/>
        <v>99900</v>
      </c>
    </row>
    <row r="746" spans="1:7" s="435" customFormat="1" hidden="1" x14ac:dyDescent="0.3">
      <c r="A746" s="1848"/>
      <c r="B746" s="862"/>
      <c r="C746" s="1438">
        <f t="shared" ref="C746:C752" si="43">SUM(D746:E746)</f>
        <v>0</v>
      </c>
      <c r="D746" s="1439"/>
      <c r="E746" s="1440"/>
      <c r="F746" s="829">
        <f t="shared" si="41"/>
        <v>0</v>
      </c>
      <c r="G746" s="829">
        <f t="shared" si="40"/>
        <v>0</v>
      </c>
    </row>
    <row r="747" spans="1:7" s="435" customFormat="1" hidden="1" x14ac:dyDescent="0.3">
      <c r="A747" s="1848"/>
      <c r="B747" s="862"/>
      <c r="C747" s="1438">
        <f t="shared" si="43"/>
        <v>0</v>
      </c>
      <c r="D747" s="1439"/>
      <c r="E747" s="1440"/>
      <c r="F747" s="829">
        <f t="shared" si="41"/>
        <v>0</v>
      </c>
      <c r="G747" s="829">
        <f t="shared" si="40"/>
        <v>0</v>
      </c>
    </row>
    <row r="748" spans="1:7" s="435" customFormat="1" hidden="1" x14ac:dyDescent="0.3">
      <c r="A748" s="1848"/>
      <c r="B748" s="862"/>
      <c r="C748" s="1438">
        <f t="shared" si="43"/>
        <v>0</v>
      </c>
      <c r="D748" s="1439"/>
      <c r="E748" s="1440"/>
      <c r="F748" s="829">
        <f t="shared" si="41"/>
        <v>0</v>
      </c>
      <c r="G748" s="829">
        <f t="shared" si="40"/>
        <v>0</v>
      </c>
    </row>
    <row r="749" spans="1:7" s="435" customFormat="1" hidden="1" x14ac:dyDescent="0.3">
      <c r="A749" s="1848"/>
      <c r="B749" s="862"/>
      <c r="C749" s="1438">
        <f t="shared" si="43"/>
        <v>0</v>
      </c>
      <c r="D749" s="1439"/>
      <c r="E749" s="1440"/>
      <c r="F749" s="829">
        <f t="shared" si="41"/>
        <v>0</v>
      </c>
      <c r="G749" s="829">
        <f t="shared" si="40"/>
        <v>0</v>
      </c>
    </row>
    <row r="750" spans="1:7" s="435" customFormat="1" hidden="1" x14ac:dyDescent="0.3">
      <c r="A750" s="1848"/>
      <c r="B750" s="862"/>
      <c r="C750" s="1438">
        <f t="shared" si="43"/>
        <v>0</v>
      </c>
      <c r="D750" s="1439"/>
      <c r="E750" s="1440"/>
      <c r="F750" s="829">
        <f t="shared" si="41"/>
        <v>0</v>
      </c>
      <c r="G750" s="829">
        <f t="shared" si="40"/>
        <v>0</v>
      </c>
    </row>
    <row r="751" spans="1:7" s="435" customFormat="1" hidden="1" x14ac:dyDescent="0.3">
      <c r="A751" s="1848"/>
      <c r="B751" s="862"/>
      <c r="C751" s="1438">
        <f t="shared" si="43"/>
        <v>0</v>
      </c>
      <c r="D751" s="1439"/>
      <c r="E751" s="1440"/>
      <c r="F751" s="829">
        <f t="shared" si="41"/>
        <v>0</v>
      </c>
      <c r="G751" s="829">
        <f t="shared" si="40"/>
        <v>0</v>
      </c>
    </row>
    <row r="752" spans="1:7" s="435" customFormat="1" hidden="1" x14ac:dyDescent="0.3">
      <c r="A752" s="1848"/>
      <c r="B752" s="862"/>
      <c r="C752" s="1438">
        <f t="shared" si="43"/>
        <v>0</v>
      </c>
      <c r="D752" s="1439"/>
      <c r="E752" s="1440"/>
      <c r="F752" s="829">
        <f t="shared" si="41"/>
        <v>0</v>
      </c>
      <c r="G752" s="829">
        <f t="shared" si="40"/>
        <v>0</v>
      </c>
    </row>
    <row r="753" spans="1:7" s="435" customFormat="1" x14ac:dyDescent="0.3">
      <c r="A753" s="1848"/>
      <c r="B753" s="862" t="s">
        <v>740</v>
      </c>
      <c r="C753" s="1438">
        <f>SUM(C743:C752)</f>
        <v>136450</v>
      </c>
      <c r="D753" s="1438">
        <f>SUM(D743:D752)</f>
        <v>6500</v>
      </c>
      <c r="E753" s="1438">
        <f>SUM(E743:E752)</f>
        <v>129950</v>
      </c>
      <c r="F753" s="829">
        <f t="shared" si="41"/>
        <v>0</v>
      </c>
      <c r="G753" s="829">
        <f t="shared" si="40"/>
        <v>272900</v>
      </c>
    </row>
    <row r="754" spans="1:7" s="831" customFormat="1" ht="75" x14ac:dyDescent="0.3">
      <c r="A754" s="1848" t="s">
        <v>1110</v>
      </c>
      <c r="B754" s="507" t="s">
        <v>617</v>
      </c>
      <c r="C754" s="586">
        <v>2200</v>
      </c>
      <c r="D754" s="586">
        <v>2200</v>
      </c>
      <c r="E754" s="586"/>
      <c r="F754" s="829">
        <f t="shared" si="41"/>
        <v>0</v>
      </c>
      <c r="G754" s="829">
        <f t="shared" si="40"/>
        <v>4400</v>
      </c>
    </row>
    <row r="755" spans="1:7" s="831" customFormat="1" ht="56.25" x14ac:dyDescent="0.3">
      <c r="A755" s="1848"/>
      <c r="B755" s="1530" t="s">
        <v>1670</v>
      </c>
      <c r="C755" s="1457">
        <v>100000</v>
      </c>
      <c r="D755" s="1457"/>
      <c r="E755" s="1457">
        <v>100000</v>
      </c>
      <c r="F755" s="829">
        <f t="shared" si="41"/>
        <v>0</v>
      </c>
      <c r="G755" s="829">
        <f t="shared" si="40"/>
        <v>200000</v>
      </c>
    </row>
    <row r="756" spans="1:7" s="435" customFormat="1" ht="37.5" x14ac:dyDescent="0.3">
      <c r="A756" s="1848"/>
      <c r="B756" s="1623" t="s">
        <v>2172</v>
      </c>
      <c r="C756" s="1625">
        <v>10000</v>
      </c>
      <c r="D756" s="1625">
        <v>10000</v>
      </c>
      <c r="E756" s="1625"/>
      <c r="F756" s="829">
        <f t="shared" si="41"/>
        <v>0</v>
      </c>
      <c r="G756" s="829">
        <f t="shared" si="40"/>
        <v>20000</v>
      </c>
    </row>
    <row r="757" spans="1:7" s="435" customFormat="1" hidden="1" x14ac:dyDescent="0.3">
      <c r="A757" s="1848"/>
      <c r="B757" s="862"/>
      <c r="C757" s="1438">
        <f t="shared" ref="C757:C763" si="44">SUM(D757:E757)</f>
        <v>0</v>
      </c>
      <c r="D757" s="1439"/>
      <c r="E757" s="1440"/>
      <c r="F757" s="829">
        <f t="shared" si="41"/>
        <v>0</v>
      </c>
      <c r="G757" s="829">
        <f t="shared" si="40"/>
        <v>0</v>
      </c>
    </row>
    <row r="758" spans="1:7" s="435" customFormat="1" hidden="1" x14ac:dyDescent="0.3">
      <c r="A758" s="1848"/>
      <c r="B758" s="862"/>
      <c r="C758" s="1438">
        <f t="shared" si="44"/>
        <v>0</v>
      </c>
      <c r="D758" s="1439"/>
      <c r="E758" s="1440"/>
      <c r="F758" s="829">
        <f t="shared" si="41"/>
        <v>0</v>
      </c>
      <c r="G758" s="829">
        <f t="shared" si="40"/>
        <v>0</v>
      </c>
    </row>
    <row r="759" spans="1:7" s="435" customFormat="1" hidden="1" x14ac:dyDescent="0.3">
      <c r="A759" s="1848"/>
      <c r="B759" s="862"/>
      <c r="C759" s="1438">
        <f t="shared" si="44"/>
        <v>0</v>
      </c>
      <c r="D759" s="1439"/>
      <c r="E759" s="1440"/>
      <c r="F759" s="829">
        <f t="shared" si="41"/>
        <v>0</v>
      </c>
      <c r="G759" s="829">
        <f t="shared" si="40"/>
        <v>0</v>
      </c>
    </row>
    <row r="760" spans="1:7" s="435" customFormat="1" hidden="1" x14ac:dyDescent="0.3">
      <c r="A760" s="1848"/>
      <c r="B760" s="862"/>
      <c r="C760" s="1438">
        <f t="shared" si="44"/>
        <v>0</v>
      </c>
      <c r="D760" s="1439"/>
      <c r="E760" s="1440"/>
      <c r="F760" s="829">
        <f t="shared" si="41"/>
        <v>0</v>
      </c>
      <c r="G760" s="829">
        <f t="shared" si="40"/>
        <v>0</v>
      </c>
    </row>
    <row r="761" spans="1:7" s="435" customFormat="1" hidden="1" x14ac:dyDescent="0.3">
      <c r="A761" s="1848"/>
      <c r="B761" s="862"/>
      <c r="C761" s="1438">
        <f t="shared" si="44"/>
        <v>0</v>
      </c>
      <c r="D761" s="1439"/>
      <c r="E761" s="1440"/>
      <c r="F761" s="829">
        <f t="shared" si="41"/>
        <v>0</v>
      </c>
      <c r="G761" s="829">
        <f t="shared" si="40"/>
        <v>0</v>
      </c>
    </row>
    <row r="762" spans="1:7" s="435" customFormat="1" hidden="1" x14ac:dyDescent="0.3">
      <c r="A762" s="1848"/>
      <c r="B762" s="862"/>
      <c r="C762" s="1438">
        <f t="shared" si="44"/>
        <v>0</v>
      </c>
      <c r="D762" s="1439"/>
      <c r="E762" s="1440"/>
      <c r="F762" s="829">
        <f t="shared" si="41"/>
        <v>0</v>
      </c>
      <c r="G762" s="829">
        <f t="shared" si="40"/>
        <v>0</v>
      </c>
    </row>
    <row r="763" spans="1:7" s="435" customFormat="1" hidden="1" x14ac:dyDescent="0.3">
      <c r="A763" s="1848"/>
      <c r="B763" s="862"/>
      <c r="C763" s="1438">
        <f t="shared" si="44"/>
        <v>0</v>
      </c>
      <c r="D763" s="1439"/>
      <c r="E763" s="1440"/>
      <c r="F763" s="829">
        <f t="shared" si="41"/>
        <v>0</v>
      </c>
      <c r="G763" s="829">
        <f t="shared" si="40"/>
        <v>0</v>
      </c>
    </row>
    <row r="764" spans="1:7" s="435" customFormat="1" x14ac:dyDescent="0.3">
      <c r="A764" s="1848"/>
      <c r="B764" s="862" t="s">
        <v>740</v>
      </c>
      <c r="C764" s="1438">
        <f>SUM(C754:C763)</f>
        <v>112200</v>
      </c>
      <c r="D764" s="1438">
        <f>SUM(D754:D763)</f>
        <v>12200</v>
      </c>
      <c r="E764" s="1438">
        <f>SUM(E754:E763)</f>
        <v>100000</v>
      </c>
      <c r="F764" s="829">
        <f t="shared" si="41"/>
        <v>0</v>
      </c>
      <c r="G764" s="829">
        <f t="shared" si="40"/>
        <v>224400</v>
      </c>
    </row>
    <row r="765" spans="1:7" s="435" customFormat="1" ht="75" x14ac:dyDescent="0.3">
      <c r="A765" s="1848" t="s">
        <v>1111</v>
      </c>
      <c r="B765" s="507" t="s">
        <v>617</v>
      </c>
      <c r="C765" s="565">
        <v>4500</v>
      </c>
      <c r="D765" s="565">
        <v>4500</v>
      </c>
      <c r="E765" s="586"/>
      <c r="F765" s="829">
        <f t="shared" si="41"/>
        <v>0</v>
      </c>
      <c r="G765" s="829">
        <f t="shared" si="40"/>
        <v>9000</v>
      </c>
    </row>
    <row r="766" spans="1:7" s="435" customFormat="1" ht="206.25" x14ac:dyDescent="0.3">
      <c r="A766" s="1848"/>
      <c r="B766" s="862" t="s">
        <v>2034</v>
      </c>
      <c r="C766" s="1627">
        <v>28956</v>
      </c>
      <c r="D766" s="1627">
        <v>20000</v>
      </c>
      <c r="E766" s="1627">
        <v>8956</v>
      </c>
      <c r="F766" s="829">
        <f t="shared" si="41"/>
        <v>0</v>
      </c>
      <c r="G766" s="829">
        <f t="shared" si="40"/>
        <v>57912</v>
      </c>
    </row>
    <row r="767" spans="1:7" s="435" customFormat="1" ht="56.25" x14ac:dyDescent="0.3">
      <c r="A767" s="1848"/>
      <c r="B767" s="1628" t="s">
        <v>2173</v>
      </c>
      <c r="C767" s="1558">
        <v>49490</v>
      </c>
      <c r="D767" s="1558"/>
      <c r="E767" s="1558">
        <v>49490</v>
      </c>
      <c r="F767" s="829">
        <f t="shared" si="41"/>
        <v>0</v>
      </c>
      <c r="G767" s="829">
        <f t="shared" si="40"/>
        <v>98980</v>
      </c>
    </row>
    <row r="768" spans="1:7" s="435" customFormat="1" hidden="1" x14ac:dyDescent="0.3">
      <c r="A768" s="1848"/>
      <c r="B768" s="862"/>
      <c r="C768" s="1438">
        <f t="shared" ref="C768:C774" si="45">SUM(D768:E768)</f>
        <v>0</v>
      </c>
      <c r="D768" s="1439"/>
      <c r="E768" s="1440"/>
      <c r="F768" s="829">
        <f t="shared" si="41"/>
        <v>0</v>
      </c>
      <c r="G768" s="829">
        <f t="shared" si="40"/>
        <v>0</v>
      </c>
    </row>
    <row r="769" spans="1:7" s="435" customFormat="1" hidden="1" x14ac:dyDescent="0.3">
      <c r="A769" s="1848"/>
      <c r="B769" s="862"/>
      <c r="C769" s="1438">
        <f t="shared" si="45"/>
        <v>0</v>
      </c>
      <c r="D769" s="1439"/>
      <c r="E769" s="1440"/>
      <c r="F769" s="829">
        <f t="shared" si="41"/>
        <v>0</v>
      </c>
      <c r="G769" s="829">
        <f t="shared" si="40"/>
        <v>0</v>
      </c>
    </row>
    <row r="770" spans="1:7" s="435" customFormat="1" hidden="1" x14ac:dyDescent="0.3">
      <c r="A770" s="1848"/>
      <c r="B770" s="862"/>
      <c r="C770" s="1438">
        <f t="shared" si="45"/>
        <v>0</v>
      </c>
      <c r="D770" s="1439"/>
      <c r="E770" s="1440"/>
      <c r="F770" s="829">
        <f t="shared" si="41"/>
        <v>0</v>
      </c>
      <c r="G770" s="829">
        <f t="shared" si="40"/>
        <v>0</v>
      </c>
    </row>
    <row r="771" spans="1:7" s="435" customFormat="1" hidden="1" x14ac:dyDescent="0.3">
      <c r="A771" s="1848"/>
      <c r="B771" s="862"/>
      <c r="C771" s="1438">
        <f t="shared" si="45"/>
        <v>0</v>
      </c>
      <c r="D771" s="1439"/>
      <c r="E771" s="1440"/>
      <c r="F771" s="829">
        <f t="shared" si="41"/>
        <v>0</v>
      </c>
      <c r="G771" s="829">
        <f t="shared" si="40"/>
        <v>0</v>
      </c>
    </row>
    <row r="772" spans="1:7" s="435" customFormat="1" hidden="1" x14ac:dyDescent="0.3">
      <c r="A772" s="1848"/>
      <c r="B772" s="862"/>
      <c r="C772" s="1438">
        <f t="shared" si="45"/>
        <v>0</v>
      </c>
      <c r="D772" s="1439"/>
      <c r="E772" s="1440"/>
      <c r="F772" s="829">
        <f t="shared" ref="F772:F803" si="46">E772+D772-C772</f>
        <v>0</v>
      </c>
      <c r="G772" s="829">
        <f t="shared" si="40"/>
        <v>0</v>
      </c>
    </row>
    <row r="773" spans="1:7" s="435" customFormat="1" hidden="1" x14ac:dyDescent="0.3">
      <c r="A773" s="1848"/>
      <c r="B773" s="862"/>
      <c r="C773" s="1438">
        <f t="shared" si="45"/>
        <v>0</v>
      </c>
      <c r="D773" s="1439"/>
      <c r="E773" s="1440"/>
      <c r="F773" s="829">
        <f t="shared" si="46"/>
        <v>0</v>
      </c>
      <c r="G773" s="829">
        <f t="shared" si="40"/>
        <v>0</v>
      </c>
    </row>
    <row r="774" spans="1:7" s="435" customFormat="1" hidden="1" x14ac:dyDescent="0.3">
      <c r="A774" s="1848"/>
      <c r="B774" s="862"/>
      <c r="C774" s="1438">
        <f t="shared" si="45"/>
        <v>0</v>
      </c>
      <c r="D774" s="1439"/>
      <c r="E774" s="1440"/>
      <c r="F774" s="829">
        <f t="shared" si="46"/>
        <v>0</v>
      </c>
      <c r="G774" s="829">
        <f t="shared" si="40"/>
        <v>0</v>
      </c>
    </row>
    <row r="775" spans="1:7" s="435" customFormat="1" x14ac:dyDescent="0.3">
      <c r="A775" s="1848"/>
      <c r="B775" s="862" t="s">
        <v>740</v>
      </c>
      <c r="C775" s="1438">
        <f>SUM(C765:C774)</f>
        <v>82946</v>
      </c>
      <c r="D775" s="1438">
        <f>SUM(D765:D774)</f>
        <v>24500</v>
      </c>
      <c r="E775" s="1438">
        <f>SUM(E765:E774)</f>
        <v>58446</v>
      </c>
      <c r="F775" s="829">
        <f t="shared" si="46"/>
        <v>0</v>
      </c>
      <c r="G775" s="829">
        <f t="shared" si="40"/>
        <v>165892</v>
      </c>
    </row>
    <row r="776" spans="1:7" s="435" customFormat="1" ht="75" x14ac:dyDescent="0.3">
      <c r="A776" s="1848" t="s">
        <v>1112</v>
      </c>
      <c r="B776" s="507" t="s">
        <v>617</v>
      </c>
      <c r="C776" s="586">
        <v>2000</v>
      </c>
      <c r="D776" s="586">
        <v>2000</v>
      </c>
      <c r="E776" s="586"/>
      <c r="F776" s="829">
        <f t="shared" si="46"/>
        <v>0</v>
      </c>
      <c r="G776" s="829">
        <f t="shared" si="40"/>
        <v>4000</v>
      </c>
    </row>
    <row r="777" spans="1:7" s="435" customFormat="1" ht="56.25" x14ac:dyDescent="0.3">
      <c r="A777" s="1848"/>
      <c r="B777" s="1118" t="s">
        <v>1243</v>
      </c>
      <c r="C777" s="1439">
        <v>300000</v>
      </c>
      <c r="D777" s="1439"/>
      <c r="E777" s="1439">
        <v>300000</v>
      </c>
      <c r="F777" s="829">
        <f t="shared" si="46"/>
        <v>0</v>
      </c>
      <c r="G777" s="829">
        <f t="shared" ref="G777:G840" si="47">SUM(C777:E777)</f>
        <v>600000</v>
      </c>
    </row>
    <row r="778" spans="1:7" s="435" customFormat="1" ht="56.25" x14ac:dyDescent="0.3">
      <c r="A778" s="1848"/>
      <c r="B778" s="506" t="s">
        <v>1671</v>
      </c>
      <c r="C778" s="1457">
        <v>20000</v>
      </c>
      <c r="D778" s="1457">
        <v>10000</v>
      </c>
      <c r="E778" s="1457">
        <v>10000</v>
      </c>
      <c r="F778" s="829">
        <f t="shared" si="46"/>
        <v>0</v>
      </c>
      <c r="G778" s="829">
        <f t="shared" si="47"/>
        <v>40000</v>
      </c>
    </row>
    <row r="779" spans="1:7" s="435" customFormat="1" ht="18" hidden="1" customHeight="1" x14ac:dyDescent="0.3">
      <c r="A779" s="1848"/>
      <c r="B779" s="862"/>
      <c r="C779" s="1438">
        <f t="shared" ref="C779:C785" si="48">SUM(D779:E779)</f>
        <v>0</v>
      </c>
      <c r="D779" s="1439"/>
      <c r="E779" s="1440"/>
      <c r="F779" s="829">
        <f t="shared" si="46"/>
        <v>0</v>
      </c>
      <c r="G779" s="829">
        <f t="shared" si="47"/>
        <v>0</v>
      </c>
    </row>
    <row r="780" spans="1:7" s="435" customFormat="1" ht="18" hidden="1" customHeight="1" x14ac:dyDescent="0.3">
      <c r="A780" s="1848"/>
      <c r="B780" s="862"/>
      <c r="C780" s="1438">
        <f t="shared" si="48"/>
        <v>0</v>
      </c>
      <c r="D780" s="1439"/>
      <c r="E780" s="1440"/>
      <c r="F780" s="829">
        <f t="shared" si="46"/>
        <v>0</v>
      </c>
      <c r="G780" s="829">
        <f t="shared" si="47"/>
        <v>0</v>
      </c>
    </row>
    <row r="781" spans="1:7" s="435" customFormat="1" ht="18" hidden="1" customHeight="1" x14ac:dyDescent="0.3">
      <c r="A781" s="1848"/>
      <c r="B781" s="862"/>
      <c r="C781" s="1438">
        <f t="shared" si="48"/>
        <v>0</v>
      </c>
      <c r="D781" s="1439"/>
      <c r="E781" s="1440"/>
      <c r="F781" s="829">
        <f t="shared" si="46"/>
        <v>0</v>
      </c>
      <c r="G781" s="829">
        <f t="shared" si="47"/>
        <v>0</v>
      </c>
    </row>
    <row r="782" spans="1:7" s="435" customFormat="1" ht="18" hidden="1" customHeight="1" x14ac:dyDescent="0.3">
      <c r="A782" s="1848"/>
      <c r="B782" s="862"/>
      <c r="C782" s="1438">
        <f t="shared" si="48"/>
        <v>0</v>
      </c>
      <c r="D782" s="1439"/>
      <c r="E782" s="1440"/>
      <c r="F782" s="829">
        <f t="shared" si="46"/>
        <v>0</v>
      </c>
      <c r="G782" s="829">
        <f t="shared" si="47"/>
        <v>0</v>
      </c>
    </row>
    <row r="783" spans="1:7" hidden="1" x14ac:dyDescent="0.3">
      <c r="A783" s="1848"/>
      <c r="B783" s="862"/>
      <c r="C783" s="1438">
        <f t="shared" si="48"/>
        <v>0</v>
      </c>
      <c r="D783" s="1439"/>
      <c r="E783" s="1440"/>
      <c r="F783" s="829">
        <f t="shared" si="46"/>
        <v>0</v>
      </c>
      <c r="G783" s="829">
        <f t="shared" si="47"/>
        <v>0</v>
      </c>
    </row>
    <row r="784" spans="1:7" hidden="1" x14ac:dyDescent="0.3">
      <c r="A784" s="1848"/>
      <c r="B784" s="862"/>
      <c r="C784" s="1438">
        <f t="shared" si="48"/>
        <v>0</v>
      </c>
      <c r="D784" s="1439"/>
      <c r="E784" s="1440"/>
      <c r="F784" s="829">
        <f t="shared" si="46"/>
        <v>0</v>
      </c>
      <c r="G784" s="829">
        <f t="shared" si="47"/>
        <v>0</v>
      </c>
    </row>
    <row r="785" spans="1:7" hidden="1" x14ac:dyDescent="0.3">
      <c r="A785" s="1848"/>
      <c r="B785" s="862"/>
      <c r="C785" s="1438">
        <f t="shared" si="48"/>
        <v>0</v>
      </c>
      <c r="D785" s="1439"/>
      <c r="E785" s="1440"/>
      <c r="F785" s="829">
        <f t="shared" si="46"/>
        <v>0</v>
      </c>
      <c r="G785" s="829">
        <f t="shared" si="47"/>
        <v>0</v>
      </c>
    </row>
    <row r="786" spans="1:7" x14ac:dyDescent="0.3">
      <c r="A786" s="1848"/>
      <c r="B786" s="862" t="s">
        <v>740</v>
      </c>
      <c r="C786" s="1438">
        <f>SUM(C776:C785)</f>
        <v>322000</v>
      </c>
      <c r="D786" s="1438">
        <f>SUM(D776:D785)</f>
        <v>12000</v>
      </c>
      <c r="E786" s="1438">
        <f>SUM(E776:E785)</f>
        <v>310000</v>
      </c>
      <c r="F786" s="829">
        <f t="shared" si="46"/>
        <v>0</v>
      </c>
      <c r="G786" s="829">
        <f t="shared" si="47"/>
        <v>644000</v>
      </c>
    </row>
    <row r="787" spans="1:7" ht="75" x14ac:dyDescent="0.3">
      <c r="A787" s="1848" t="s">
        <v>1113</v>
      </c>
      <c r="B787" s="507" t="s">
        <v>617</v>
      </c>
      <c r="C787" s="586">
        <f>6300+1480</f>
        <v>7780</v>
      </c>
      <c r="D787" s="586">
        <f>6300+1480</f>
        <v>7780</v>
      </c>
      <c r="E787" s="586"/>
      <c r="F787" s="829">
        <f t="shared" si="46"/>
        <v>0</v>
      </c>
      <c r="G787" s="829">
        <f t="shared" si="47"/>
        <v>15560</v>
      </c>
    </row>
    <row r="788" spans="1:7" ht="56.25" x14ac:dyDescent="0.3">
      <c r="A788" s="1848"/>
      <c r="B788" s="1118" t="s">
        <v>1325</v>
      </c>
      <c r="C788" s="1439">
        <v>200000</v>
      </c>
      <c r="D788" s="1439">
        <v>200000</v>
      </c>
      <c r="E788" s="1439"/>
      <c r="F788" s="829">
        <f t="shared" si="46"/>
        <v>0</v>
      </c>
      <c r="G788" s="829">
        <f t="shared" si="47"/>
        <v>400000</v>
      </c>
    </row>
    <row r="789" spans="1:7" s="435" customFormat="1" ht="56.25" x14ac:dyDescent="0.3">
      <c r="A789" s="1848"/>
      <c r="B789" s="1118" t="s">
        <v>1326</v>
      </c>
      <c r="C789" s="1439">
        <v>200000</v>
      </c>
      <c r="D789" s="1439">
        <v>200000</v>
      </c>
      <c r="E789" s="1439"/>
      <c r="F789" s="829">
        <f t="shared" si="46"/>
        <v>0</v>
      </c>
      <c r="G789" s="829">
        <f t="shared" si="47"/>
        <v>400000</v>
      </c>
    </row>
    <row r="790" spans="1:7" s="435" customFormat="1" ht="37.5" x14ac:dyDescent="0.3">
      <c r="A790" s="1848"/>
      <c r="B790" s="506" t="s">
        <v>1547</v>
      </c>
      <c r="C790" s="565">
        <v>200000</v>
      </c>
      <c r="D790" s="565">
        <v>200000</v>
      </c>
      <c r="E790" s="586"/>
      <c r="F790" s="829">
        <f t="shared" si="46"/>
        <v>0</v>
      </c>
      <c r="G790" s="829">
        <f t="shared" si="47"/>
        <v>400000</v>
      </c>
    </row>
    <row r="791" spans="1:7" s="435" customFormat="1" ht="63" x14ac:dyDescent="0.3">
      <c r="A791" s="1848"/>
      <c r="B791" s="1643" t="s">
        <v>1901</v>
      </c>
      <c r="C791" s="882">
        <v>50000</v>
      </c>
      <c r="D791" s="882"/>
      <c r="E791" s="883">
        <v>50000</v>
      </c>
      <c r="F791" s="829">
        <f t="shared" si="46"/>
        <v>0</v>
      </c>
      <c r="G791" s="829">
        <f t="shared" si="47"/>
        <v>100000</v>
      </c>
    </row>
    <row r="792" spans="1:7" s="435" customFormat="1" ht="47.25" x14ac:dyDescent="0.3">
      <c r="A792" s="1848"/>
      <c r="B792" s="1643" t="s">
        <v>1902</v>
      </c>
      <c r="C792" s="882">
        <v>200000</v>
      </c>
      <c r="D792" s="882"/>
      <c r="E792" s="883">
        <v>200000</v>
      </c>
      <c r="F792" s="829">
        <f t="shared" si="46"/>
        <v>0</v>
      </c>
      <c r="G792" s="829">
        <f t="shared" si="47"/>
        <v>400000</v>
      </c>
    </row>
    <row r="793" spans="1:7" s="435" customFormat="1" ht="56.25" x14ac:dyDescent="0.3">
      <c r="A793" s="1848"/>
      <c r="B793" s="862" t="s">
        <v>1672</v>
      </c>
      <c r="C793" s="1438">
        <f>SUM(D793:E793)</f>
        <v>50000</v>
      </c>
      <c r="D793" s="1457">
        <v>50000</v>
      </c>
      <c r="E793" s="892"/>
      <c r="F793" s="829">
        <f t="shared" si="46"/>
        <v>0</v>
      </c>
      <c r="G793" s="829">
        <f t="shared" si="47"/>
        <v>100000</v>
      </c>
    </row>
    <row r="794" spans="1:7" s="435" customFormat="1" ht="56.25" x14ac:dyDescent="0.3">
      <c r="A794" s="1848"/>
      <c r="B794" s="862" t="s">
        <v>1673</v>
      </c>
      <c r="C794" s="1438">
        <f>SUM(D794:E794)</f>
        <v>50000</v>
      </c>
      <c r="D794" s="1457">
        <v>50000</v>
      </c>
      <c r="E794" s="892"/>
      <c r="F794" s="829">
        <f t="shared" si="46"/>
        <v>0</v>
      </c>
      <c r="G794" s="829">
        <f t="shared" si="47"/>
        <v>100000</v>
      </c>
    </row>
    <row r="795" spans="1:7" s="435" customFormat="1" ht="112.5" x14ac:dyDescent="0.3">
      <c r="A795" s="1848"/>
      <c r="B795" s="862" t="s">
        <v>2035</v>
      </c>
      <c r="C795" s="1631">
        <v>9000</v>
      </c>
      <c r="D795" s="1631">
        <v>9000</v>
      </c>
      <c r="E795" s="1631"/>
      <c r="F795" s="829"/>
      <c r="G795" s="829">
        <f t="shared" si="47"/>
        <v>18000</v>
      </c>
    </row>
    <row r="796" spans="1:7" s="435" customFormat="1" ht="243.75" x14ac:dyDescent="0.3">
      <c r="A796" s="1848"/>
      <c r="B796" s="506" t="s">
        <v>2036</v>
      </c>
      <c r="C796" s="1631">
        <v>49000</v>
      </c>
      <c r="D796" s="1631">
        <v>41800</v>
      </c>
      <c r="E796" s="1631">
        <v>7200</v>
      </c>
      <c r="F796" s="829"/>
      <c r="G796" s="829">
        <f t="shared" si="47"/>
        <v>98000</v>
      </c>
    </row>
    <row r="797" spans="1:7" s="435" customFormat="1" ht="168.75" x14ac:dyDescent="0.3">
      <c r="A797" s="1848"/>
      <c r="B797" s="862" t="s">
        <v>2037</v>
      </c>
      <c r="C797" s="1627">
        <v>108956</v>
      </c>
      <c r="D797" s="1627"/>
      <c r="E797" s="1627">
        <v>108956</v>
      </c>
      <c r="F797" s="829"/>
      <c r="G797" s="829">
        <f t="shared" si="47"/>
        <v>217912</v>
      </c>
    </row>
    <row r="798" spans="1:7" s="435" customFormat="1" ht="93.75" x14ac:dyDescent="0.3">
      <c r="A798" s="1848"/>
      <c r="B798" s="1628" t="s">
        <v>2174</v>
      </c>
      <c r="C798" s="1625">
        <v>40000</v>
      </c>
      <c r="D798" s="1625"/>
      <c r="E798" s="1625">
        <v>40000</v>
      </c>
      <c r="F798" s="829"/>
      <c r="G798" s="829">
        <f t="shared" si="47"/>
        <v>80000</v>
      </c>
    </row>
    <row r="799" spans="1:7" s="435" customFormat="1" ht="112.5" x14ac:dyDescent="0.3">
      <c r="A799" s="1848"/>
      <c r="B799" s="1628" t="s">
        <v>2175</v>
      </c>
      <c r="C799" s="1625">
        <v>151044</v>
      </c>
      <c r="D799" s="1625"/>
      <c r="E799" s="1625">
        <v>151044</v>
      </c>
      <c r="F799" s="829"/>
      <c r="G799" s="829">
        <f t="shared" si="47"/>
        <v>302088</v>
      </c>
    </row>
    <row r="800" spans="1:7" s="435" customFormat="1" hidden="1" x14ac:dyDescent="0.3">
      <c r="A800" s="1848"/>
      <c r="B800" s="985"/>
      <c r="C800" s="1441"/>
      <c r="D800" s="1442"/>
      <c r="E800" s="1451"/>
      <c r="F800" s="829"/>
      <c r="G800" s="829">
        <f t="shared" si="47"/>
        <v>0</v>
      </c>
    </row>
    <row r="801" spans="1:7" s="435" customFormat="1" hidden="1" x14ac:dyDescent="0.3">
      <c r="A801" s="1848"/>
      <c r="B801" s="985"/>
      <c r="C801" s="1441"/>
      <c r="D801" s="1442"/>
      <c r="E801" s="1451"/>
      <c r="F801" s="829"/>
      <c r="G801" s="829">
        <f t="shared" si="47"/>
        <v>0</v>
      </c>
    </row>
    <row r="802" spans="1:7" s="435" customFormat="1" hidden="1" x14ac:dyDescent="0.3">
      <c r="A802" s="1848"/>
      <c r="B802" s="985"/>
      <c r="C802" s="1441"/>
      <c r="D802" s="1442"/>
      <c r="E802" s="1451"/>
      <c r="F802" s="829"/>
      <c r="G802" s="829">
        <f t="shared" si="47"/>
        <v>0</v>
      </c>
    </row>
    <row r="803" spans="1:7" s="435" customFormat="1" hidden="1" x14ac:dyDescent="0.3">
      <c r="A803" s="1848"/>
      <c r="B803" s="1325"/>
      <c r="C803" s="1324"/>
      <c r="D803" s="1324"/>
      <c r="E803" s="1453"/>
      <c r="F803" s="829">
        <f t="shared" si="46"/>
        <v>0</v>
      </c>
      <c r="G803" s="829">
        <f t="shared" si="47"/>
        <v>0</v>
      </c>
    </row>
    <row r="804" spans="1:7" s="435" customFormat="1" hidden="1" x14ac:dyDescent="0.3">
      <c r="A804" s="1848"/>
      <c r="B804" s="227"/>
      <c r="C804" s="1449"/>
      <c r="D804" s="1449"/>
      <c r="E804" s="586"/>
      <c r="F804" s="829"/>
      <c r="G804" s="829">
        <f t="shared" si="47"/>
        <v>0</v>
      </c>
    </row>
    <row r="805" spans="1:7" s="435" customFormat="1" hidden="1" x14ac:dyDescent="0.3">
      <c r="A805" s="1848"/>
      <c r="B805" s="862"/>
      <c r="C805" s="1438">
        <f>SUM(D805:E805)</f>
        <v>0</v>
      </c>
      <c r="D805" s="1439"/>
      <c r="E805" s="1440"/>
      <c r="F805" s="829">
        <f t="shared" ref="F805:F869" si="49">E805+D805-C805</f>
        <v>0</v>
      </c>
      <c r="G805" s="829">
        <f t="shared" si="47"/>
        <v>0</v>
      </c>
    </row>
    <row r="806" spans="1:7" s="435" customFormat="1" hidden="1" x14ac:dyDescent="0.3">
      <c r="A806" s="1848"/>
      <c r="B806" s="862"/>
      <c r="C806" s="1438">
        <f>SUM(D806:E806)</f>
        <v>0</v>
      </c>
      <c r="D806" s="1439"/>
      <c r="E806" s="1440"/>
      <c r="F806" s="829">
        <f t="shared" si="49"/>
        <v>0</v>
      </c>
      <c r="G806" s="829">
        <f t="shared" si="47"/>
        <v>0</v>
      </c>
    </row>
    <row r="807" spans="1:7" s="435" customFormat="1" ht="18" customHeight="1" x14ac:dyDescent="0.3">
      <c r="A807" s="1848"/>
      <c r="B807" s="862" t="s">
        <v>740</v>
      </c>
      <c r="C807" s="1438">
        <f>SUM(C787:C806)</f>
        <v>1315780</v>
      </c>
      <c r="D807" s="1438">
        <f>SUM(D787:D806)</f>
        <v>758580</v>
      </c>
      <c r="E807" s="1438">
        <f>SUM(E787:E806)</f>
        <v>557200</v>
      </c>
      <c r="F807" s="829">
        <f t="shared" si="49"/>
        <v>0</v>
      </c>
      <c r="G807" s="829">
        <f t="shared" si="47"/>
        <v>2631560</v>
      </c>
    </row>
    <row r="808" spans="1:7" s="435" customFormat="1" ht="75" x14ac:dyDescent="0.3">
      <c r="A808" s="1848" t="s">
        <v>1114</v>
      </c>
      <c r="B808" s="507" t="s">
        <v>617</v>
      </c>
      <c r="C808" s="586">
        <v>9700</v>
      </c>
      <c r="D808" s="586">
        <v>9700</v>
      </c>
      <c r="E808" s="586"/>
      <c r="F808" s="829">
        <f t="shared" si="49"/>
        <v>0</v>
      </c>
      <c r="G808" s="829">
        <f t="shared" si="47"/>
        <v>19400</v>
      </c>
    </row>
    <row r="809" spans="1:7" s="435" customFormat="1" ht="56.25" x14ac:dyDescent="0.3">
      <c r="A809" s="1848"/>
      <c r="B809" s="1122" t="s">
        <v>1358</v>
      </c>
      <c r="C809" s="1467">
        <v>500000</v>
      </c>
      <c r="D809" s="1440"/>
      <c r="E809" s="1440">
        <v>500000</v>
      </c>
      <c r="F809" s="829">
        <f t="shared" si="49"/>
        <v>0</v>
      </c>
      <c r="G809" s="829">
        <f t="shared" si="47"/>
        <v>1000000</v>
      </c>
    </row>
    <row r="810" spans="1:7" s="435" customFormat="1" ht="112.5" x14ac:dyDescent="0.3">
      <c r="A810" s="1848"/>
      <c r="B810" s="1118" t="s">
        <v>1359</v>
      </c>
      <c r="C810" s="1439">
        <v>100000</v>
      </c>
      <c r="D810" s="1439">
        <v>36000</v>
      </c>
      <c r="E810" s="1439">
        <v>64000</v>
      </c>
      <c r="F810" s="829">
        <f t="shared" si="49"/>
        <v>0</v>
      </c>
      <c r="G810" s="829">
        <f t="shared" si="47"/>
        <v>200000</v>
      </c>
    </row>
    <row r="811" spans="1:7" s="435" customFormat="1" ht="112.5" x14ac:dyDescent="0.3">
      <c r="A811" s="1848"/>
      <c r="B811" s="1121" t="s">
        <v>1416</v>
      </c>
      <c r="C811" s="1626">
        <v>160000</v>
      </c>
      <c r="D811" s="1635"/>
      <c r="E811" s="1439">
        <v>160000</v>
      </c>
      <c r="F811" s="829">
        <f t="shared" si="49"/>
        <v>0</v>
      </c>
      <c r="G811" s="829">
        <f t="shared" si="47"/>
        <v>320000</v>
      </c>
    </row>
    <row r="812" spans="1:7" s="435" customFormat="1" ht="56.25" x14ac:dyDescent="0.3">
      <c r="A812" s="1848"/>
      <c r="B812" s="1121" t="s">
        <v>1360</v>
      </c>
      <c r="C812" s="1626">
        <v>240000</v>
      </c>
      <c r="D812" s="1635"/>
      <c r="E812" s="1439">
        <v>240000</v>
      </c>
      <c r="F812" s="829">
        <f t="shared" si="49"/>
        <v>0</v>
      </c>
      <c r="G812" s="829">
        <f t="shared" si="47"/>
        <v>480000</v>
      </c>
    </row>
    <row r="813" spans="1:7" s="435" customFormat="1" ht="75" x14ac:dyDescent="0.3">
      <c r="A813" s="1848"/>
      <c r="B813" s="1121" t="s">
        <v>1361</v>
      </c>
      <c r="C813" s="1622">
        <v>130000</v>
      </c>
      <c r="D813" s="1440"/>
      <c r="E813" s="1440">
        <v>130000</v>
      </c>
      <c r="F813" s="829">
        <f t="shared" si="49"/>
        <v>0</v>
      </c>
      <c r="G813" s="829">
        <f t="shared" si="47"/>
        <v>260000</v>
      </c>
    </row>
    <row r="814" spans="1:7" s="435" customFormat="1" ht="56.25" x14ac:dyDescent="0.3">
      <c r="A814" s="1848"/>
      <c r="B814" s="506" t="s">
        <v>1514</v>
      </c>
      <c r="C814" s="586">
        <v>23604</v>
      </c>
      <c r="D814" s="586"/>
      <c r="E814" s="586">
        <v>23604</v>
      </c>
      <c r="F814" s="829">
        <f t="shared" si="49"/>
        <v>0</v>
      </c>
      <c r="G814" s="829">
        <f t="shared" si="47"/>
        <v>47208</v>
      </c>
    </row>
    <row r="815" spans="1:7" s="435" customFormat="1" ht="56.25" x14ac:dyDescent="0.3">
      <c r="A815" s="1848"/>
      <c r="B815" s="506" t="s">
        <v>1515</v>
      </c>
      <c r="C815" s="586">
        <v>12596</v>
      </c>
      <c r="D815" s="586">
        <v>12596</v>
      </c>
      <c r="E815" s="586"/>
      <c r="F815" s="829">
        <f t="shared" si="49"/>
        <v>0</v>
      </c>
      <c r="G815" s="829">
        <f t="shared" si="47"/>
        <v>25192</v>
      </c>
    </row>
    <row r="816" spans="1:7" s="435" customFormat="1" ht="37.5" x14ac:dyDescent="0.3">
      <c r="A816" s="1848"/>
      <c r="B816" s="506" t="s">
        <v>1674</v>
      </c>
      <c r="C816" s="1438">
        <v>150000</v>
      </c>
      <c r="D816" s="1438"/>
      <c r="E816" s="565">
        <v>150000</v>
      </c>
      <c r="F816" s="829">
        <f t="shared" si="49"/>
        <v>0</v>
      </c>
      <c r="G816" s="829">
        <f t="shared" si="47"/>
        <v>300000</v>
      </c>
    </row>
    <row r="817" spans="1:7" s="435" customFormat="1" ht="56.25" x14ac:dyDescent="0.3">
      <c r="A817" s="1848"/>
      <c r="B817" s="506" t="s">
        <v>1675</v>
      </c>
      <c r="C817" s="1438">
        <v>150000</v>
      </c>
      <c r="D817" s="1438"/>
      <c r="E817" s="565">
        <v>150000</v>
      </c>
      <c r="F817" s="829">
        <f t="shared" si="49"/>
        <v>0</v>
      </c>
      <c r="G817" s="829">
        <f t="shared" si="47"/>
        <v>300000</v>
      </c>
    </row>
    <row r="818" spans="1:7" s="435" customFormat="1" ht="56.25" x14ac:dyDescent="0.3">
      <c r="A818" s="1848"/>
      <c r="B818" s="862" t="s">
        <v>1676</v>
      </c>
      <c r="C818" s="1457">
        <v>12000</v>
      </c>
      <c r="D818" s="1457">
        <v>12000</v>
      </c>
      <c r="E818" s="1457"/>
      <c r="F818" s="829">
        <f t="shared" si="49"/>
        <v>0</v>
      </c>
      <c r="G818" s="829">
        <f t="shared" si="47"/>
        <v>24000</v>
      </c>
    </row>
    <row r="819" spans="1:7" s="435" customFormat="1" ht="56.25" x14ac:dyDescent="0.3">
      <c r="A819" s="1848"/>
      <c r="B819" s="862" t="s">
        <v>1677</v>
      </c>
      <c r="C819" s="1457">
        <v>100000</v>
      </c>
      <c r="D819" s="1457"/>
      <c r="E819" s="1457">
        <v>100000</v>
      </c>
      <c r="F819" s="829">
        <f t="shared" si="49"/>
        <v>0</v>
      </c>
      <c r="G819" s="829">
        <f t="shared" si="47"/>
        <v>200000</v>
      </c>
    </row>
    <row r="820" spans="1:7" s="435" customFormat="1" ht="131.25" x14ac:dyDescent="0.3">
      <c r="A820" s="1848"/>
      <c r="B820" s="506" t="s">
        <v>1994</v>
      </c>
      <c r="C820" s="565">
        <v>463800</v>
      </c>
      <c r="D820" s="565"/>
      <c r="E820" s="586">
        <v>463800</v>
      </c>
      <c r="F820" s="829"/>
      <c r="G820" s="829">
        <f t="shared" si="47"/>
        <v>927600</v>
      </c>
    </row>
    <row r="821" spans="1:7" s="435" customFormat="1" ht="131.25" x14ac:dyDescent="0.3">
      <c r="A821" s="1848"/>
      <c r="B821" s="506" t="s">
        <v>2038</v>
      </c>
      <c r="C821" s="1631">
        <v>108956</v>
      </c>
      <c r="D821" s="1631"/>
      <c r="E821" s="1631">
        <v>108956</v>
      </c>
      <c r="F821" s="829"/>
      <c r="G821" s="829">
        <f t="shared" si="47"/>
        <v>217912</v>
      </c>
    </row>
    <row r="822" spans="1:7" s="435" customFormat="1" ht="131.25" x14ac:dyDescent="0.3">
      <c r="A822" s="1848"/>
      <c r="B822" s="506" t="s">
        <v>2038</v>
      </c>
      <c r="C822" s="1631">
        <v>795050</v>
      </c>
      <c r="D822" s="1631"/>
      <c r="E822" s="1631">
        <v>795050</v>
      </c>
      <c r="F822" s="829"/>
      <c r="G822" s="829">
        <f t="shared" si="47"/>
        <v>1590100</v>
      </c>
    </row>
    <row r="823" spans="1:7" s="435" customFormat="1" ht="75" x14ac:dyDescent="0.3">
      <c r="A823" s="1848"/>
      <c r="B823" s="862" t="s">
        <v>2039</v>
      </c>
      <c r="C823" s="1627">
        <v>150000</v>
      </c>
      <c r="D823" s="1627">
        <v>150000</v>
      </c>
      <c r="E823" s="1627"/>
      <c r="F823" s="829"/>
      <c r="G823" s="829">
        <f t="shared" si="47"/>
        <v>300000</v>
      </c>
    </row>
    <row r="824" spans="1:7" s="435" customFormat="1" ht="56.25" x14ac:dyDescent="0.3">
      <c r="A824" s="1848"/>
      <c r="B824" s="1628" t="s">
        <v>2176</v>
      </c>
      <c r="C824" s="1625">
        <v>6200</v>
      </c>
      <c r="D824" s="1625">
        <v>6200</v>
      </c>
      <c r="E824" s="1625"/>
      <c r="F824" s="829"/>
      <c r="G824" s="829">
        <f t="shared" si="47"/>
        <v>12400</v>
      </c>
    </row>
    <row r="825" spans="1:7" s="435" customFormat="1" ht="131.25" x14ac:dyDescent="0.3">
      <c r="A825" s="1848"/>
      <c r="B825" s="1628" t="s">
        <v>2177</v>
      </c>
      <c r="C825" s="1625">
        <v>191044</v>
      </c>
      <c r="D825" s="1625"/>
      <c r="E825" s="1625">
        <v>191044</v>
      </c>
      <c r="F825" s="829"/>
      <c r="G825" s="829">
        <f t="shared" si="47"/>
        <v>382088</v>
      </c>
    </row>
    <row r="826" spans="1:7" s="435" customFormat="1" ht="56.25" x14ac:dyDescent="0.3">
      <c r="A826" s="1848"/>
      <c r="B826" s="1623" t="s">
        <v>2178</v>
      </c>
      <c r="C826" s="1625">
        <v>5000</v>
      </c>
      <c r="D826" s="1625">
        <v>5000</v>
      </c>
      <c r="E826" s="1625"/>
      <c r="F826" s="829"/>
      <c r="G826" s="829">
        <f t="shared" si="47"/>
        <v>10000</v>
      </c>
    </row>
    <row r="827" spans="1:7" s="435" customFormat="1" hidden="1" x14ac:dyDescent="0.3">
      <c r="A827" s="1848"/>
      <c r="B827" s="1397"/>
      <c r="C827" s="1448"/>
      <c r="D827" s="1448"/>
      <c r="E827" s="1448"/>
      <c r="F827" s="829"/>
      <c r="G827" s="829">
        <f t="shared" si="47"/>
        <v>0</v>
      </c>
    </row>
    <row r="828" spans="1:7" s="435" customFormat="1" hidden="1" x14ac:dyDescent="0.3">
      <c r="A828" s="1848"/>
      <c r="B828" s="1397"/>
      <c r="C828" s="1448"/>
      <c r="D828" s="1448"/>
      <c r="E828" s="1448"/>
      <c r="F828" s="829"/>
      <c r="G828" s="829">
        <f t="shared" si="47"/>
        <v>0</v>
      </c>
    </row>
    <row r="829" spans="1:7" s="435" customFormat="1" hidden="1" x14ac:dyDescent="0.3">
      <c r="A829" s="1848"/>
      <c r="B829" s="1397"/>
      <c r="C829" s="1448"/>
      <c r="D829" s="1448"/>
      <c r="E829" s="1448"/>
      <c r="F829" s="829"/>
      <c r="G829" s="829">
        <f t="shared" si="47"/>
        <v>0</v>
      </c>
    </row>
    <row r="830" spans="1:7" s="435" customFormat="1" hidden="1" x14ac:dyDescent="0.3">
      <c r="A830" s="1848"/>
      <c r="B830" s="1397"/>
      <c r="C830" s="1448"/>
      <c r="D830" s="1448"/>
      <c r="E830" s="1448"/>
      <c r="F830" s="829"/>
      <c r="G830" s="829">
        <f t="shared" si="47"/>
        <v>0</v>
      </c>
    </row>
    <row r="831" spans="1:7" s="435" customFormat="1" hidden="1" x14ac:dyDescent="0.3">
      <c r="A831" s="1848"/>
      <c r="B831" s="1397"/>
      <c r="C831" s="1448"/>
      <c r="D831" s="1448"/>
      <c r="E831" s="1448"/>
      <c r="F831" s="829"/>
      <c r="G831" s="829">
        <f t="shared" si="47"/>
        <v>0</v>
      </c>
    </row>
    <row r="832" spans="1:7" s="435" customFormat="1" hidden="1" x14ac:dyDescent="0.3">
      <c r="A832" s="1848"/>
      <c r="B832" s="964"/>
      <c r="C832" s="1455"/>
      <c r="D832" s="1455"/>
      <c r="E832" s="1455"/>
      <c r="F832" s="829"/>
      <c r="G832" s="829">
        <f t="shared" si="47"/>
        <v>0</v>
      </c>
    </row>
    <row r="833" spans="1:7" s="435" customFormat="1" ht="18" hidden="1" customHeight="1" x14ac:dyDescent="0.3">
      <c r="A833" s="1848"/>
      <c r="B833" s="862"/>
      <c r="C833" s="1438">
        <f>SUM(D833:E833)</f>
        <v>0</v>
      </c>
      <c r="D833" s="1439"/>
      <c r="E833" s="1440"/>
      <c r="F833" s="829">
        <f t="shared" si="49"/>
        <v>0</v>
      </c>
      <c r="G833" s="829">
        <f t="shared" si="47"/>
        <v>0</v>
      </c>
    </row>
    <row r="834" spans="1:7" s="435" customFormat="1" ht="18" hidden="1" customHeight="1" x14ac:dyDescent="0.3">
      <c r="A834" s="1848"/>
      <c r="B834" s="862"/>
      <c r="C834" s="1438">
        <f>SUM(D834:E834)</f>
        <v>0</v>
      </c>
      <c r="D834" s="1439"/>
      <c r="E834" s="1440"/>
      <c r="F834" s="829">
        <f t="shared" si="49"/>
        <v>0</v>
      </c>
      <c r="G834" s="829">
        <f t="shared" si="47"/>
        <v>0</v>
      </c>
    </row>
    <row r="835" spans="1:7" s="435" customFormat="1" ht="18" customHeight="1" x14ac:dyDescent="0.3">
      <c r="A835" s="1848"/>
      <c r="B835" s="862" t="s">
        <v>740</v>
      </c>
      <c r="C835" s="1438">
        <f>SUM(C808:C834)</f>
        <v>3307950</v>
      </c>
      <c r="D835" s="1438">
        <f>SUM(D808:D834)</f>
        <v>231496</v>
      </c>
      <c r="E835" s="1438">
        <f>SUM(E808:E834)</f>
        <v>3076454</v>
      </c>
      <c r="F835" s="829">
        <f>E835+D835-C835</f>
        <v>0</v>
      </c>
      <c r="G835" s="829">
        <f t="shared" si="47"/>
        <v>6615900</v>
      </c>
    </row>
    <row r="836" spans="1:7" s="435" customFormat="1" ht="75" hidden="1" x14ac:dyDescent="0.3">
      <c r="A836" s="1848" t="s">
        <v>1115</v>
      </c>
      <c r="B836" s="507" t="s">
        <v>617</v>
      </c>
      <c r="C836" s="586">
        <f>900-900</f>
        <v>0</v>
      </c>
      <c r="D836" s="586">
        <f>900-900</f>
        <v>0</v>
      </c>
      <c r="E836" s="1465"/>
      <c r="F836" s="829">
        <f t="shared" si="49"/>
        <v>0</v>
      </c>
      <c r="G836" s="829">
        <f t="shared" si="47"/>
        <v>0</v>
      </c>
    </row>
    <row r="837" spans="1:7" s="435" customFormat="1" ht="37.5" x14ac:dyDescent="0.3">
      <c r="A837" s="1848"/>
      <c r="B837" s="1121" t="s">
        <v>1362</v>
      </c>
      <c r="C837" s="1626">
        <v>60000</v>
      </c>
      <c r="D837" s="1622"/>
      <c r="E837" s="1440">
        <v>60000</v>
      </c>
      <c r="F837" s="829">
        <f t="shared" si="49"/>
        <v>0</v>
      </c>
      <c r="G837" s="829">
        <f t="shared" si="47"/>
        <v>120000</v>
      </c>
    </row>
    <row r="838" spans="1:7" s="435" customFormat="1" ht="56.25" x14ac:dyDescent="0.3">
      <c r="A838" s="1848"/>
      <c r="B838" s="506" t="s">
        <v>1516</v>
      </c>
      <c r="C838" s="586">
        <v>36200</v>
      </c>
      <c r="D838" s="586"/>
      <c r="E838" s="586">
        <v>36200</v>
      </c>
      <c r="F838" s="829">
        <f t="shared" si="49"/>
        <v>0</v>
      </c>
      <c r="G838" s="829">
        <f t="shared" si="47"/>
        <v>72400</v>
      </c>
    </row>
    <row r="839" spans="1:7" s="435" customFormat="1" ht="112.5" x14ac:dyDescent="0.3">
      <c r="A839" s="1848"/>
      <c r="B839" s="506" t="s">
        <v>1982</v>
      </c>
      <c r="C839" s="565">
        <v>189</v>
      </c>
      <c r="D839" s="565"/>
      <c r="E839" s="586">
        <v>189</v>
      </c>
      <c r="F839" s="829">
        <f t="shared" si="49"/>
        <v>0</v>
      </c>
      <c r="G839" s="829">
        <f t="shared" si="47"/>
        <v>378</v>
      </c>
    </row>
    <row r="840" spans="1:7" s="435" customFormat="1" ht="112.5" x14ac:dyDescent="0.3">
      <c r="A840" s="1848"/>
      <c r="B840" s="506" t="s">
        <v>1982</v>
      </c>
      <c r="C840" s="565">
        <v>3800</v>
      </c>
      <c r="D840" s="565"/>
      <c r="E840" s="586">
        <v>3800</v>
      </c>
      <c r="F840" s="829">
        <f t="shared" si="49"/>
        <v>0</v>
      </c>
      <c r="G840" s="829">
        <f t="shared" si="47"/>
        <v>7600</v>
      </c>
    </row>
    <row r="841" spans="1:7" s="435" customFormat="1" ht="75" x14ac:dyDescent="0.3">
      <c r="A841" s="1848"/>
      <c r="B841" s="862" t="s">
        <v>2040</v>
      </c>
      <c r="C841" s="1627">
        <v>50000</v>
      </c>
      <c r="D841" s="1627"/>
      <c r="E841" s="1627">
        <v>50000</v>
      </c>
      <c r="F841" s="829">
        <f t="shared" si="49"/>
        <v>0</v>
      </c>
      <c r="G841" s="829">
        <f t="shared" ref="G841:G904" si="50">SUM(C841:E841)</f>
        <v>100000</v>
      </c>
    </row>
    <row r="842" spans="1:7" s="435" customFormat="1" ht="112.5" x14ac:dyDescent="0.3">
      <c r="A842" s="1848"/>
      <c r="B842" s="862" t="s">
        <v>2296</v>
      </c>
      <c r="C842" s="1627">
        <v>108956</v>
      </c>
      <c r="D842" s="1627"/>
      <c r="E842" s="1627">
        <v>108956</v>
      </c>
      <c r="F842" s="829">
        <f t="shared" si="49"/>
        <v>0</v>
      </c>
      <c r="G842" s="829">
        <f t="shared" si="50"/>
        <v>217912</v>
      </c>
    </row>
    <row r="843" spans="1:7" s="435" customFormat="1" ht="18" hidden="1" customHeight="1" x14ac:dyDescent="0.3">
      <c r="A843" s="1848"/>
      <c r="B843" s="862"/>
      <c r="C843" s="1438">
        <f>SUM(D843:E843)</f>
        <v>0</v>
      </c>
      <c r="D843" s="1439"/>
      <c r="E843" s="1440"/>
      <c r="F843" s="829">
        <f t="shared" si="49"/>
        <v>0</v>
      </c>
      <c r="G843" s="829">
        <f t="shared" si="50"/>
        <v>0</v>
      </c>
    </row>
    <row r="844" spans="1:7" s="435" customFormat="1" ht="18" hidden="1" customHeight="1" x14ac:dyDescent="0.3">
      <c r="A844" s="1848"/>
      <c r="B844" s="862"/>
      <c r="C844" s="1438">
        <f>SUM(D844:E844)</f>
        <v>0</v>
      </c>
      <c r="D844" s="1439"/>
      <c r="E844" s="1440"/>
      <c r="F844" s="829">
        <f t="shared" si="49"/>
        <v>0</v>
      </c>
      <c r="G844" s="829">
        <f t="shared" si="50"/>
        <v>0</v>
      </c>
    </row>
    <row r="845" spans="1:7" s="435" customFormat="1" ht="18" hidden="1" customHeight="1" x14ac:dyDescent="0.3">
      <c r="A845" s="1848"/>
      <c r="B845" s="862"/>
      <c r="C845" s="1438">
        <f>SUM(D845:E845)</f>
        <v>0</v>
      </c>
      <c r="D845" s="1439"/>
      <c r="E845" s="1440"/>
      <c r="F845" s="829">
        <f t="shared" si="49"/>
        <v>0</v>
      </c>
      <c r="G845" s="829">
        <f t="shared" si="50"/>
        <v>0</v>
      </c>
    </row>
    <row r="846" spans="1:7" s="435" customFormat="1" ht="18" customHeight="1" x14ac:dyDescent="0.3">
      <c r="A846" s="1848"/>
      <c r="B846" s="862" t="s">
        <v>740</v>
      </c>
      <c r="C846" s="1438">
        <f>SUM(C836:C845)</f>
        <v>259145</v>
      </c>
      <c r="D846" s="1438">
        <f>SUM(D836:D845)</f>
        <v>0</v>
      </c>
      <c r="E846" s="1438">
        <f>SUM(E836:E845)</f>
        <v>259145</v>
      </c>
      <c r="F846" s="829">
        <f t="shared" si="49"/>
        <v>0</v>
      </c>
      <c r="G846" s="829">
        <f t="shared" si="50"/>
        <v>518290</v>
      </c>
    </row>
    <row r="847" spans="1:7" s="435" customFormat="1" ht="18" customHeight="1" x14ac:dyDescent="0.3">
      <c r="A847" s="1848" t="s">
        <v>1116</v>
      </c>
      <c r="B847" s="507" t="s">
        <v>617</v>
      </c>
      <c r="C847" s="1446">
        <f>242600+1480+2300</f>
        <v>246380</v>
      </c>
      <c r="D847" s="1446">
        <f>242600+1480+2300</f>
        <v>246380</v>
      </c>
      <c r="E847" s="1460"/>
      <c r="F847" s="829">
        <f t="shared" si="49"/>
        <v>0</v>
      </c>
      <c r="G847" s="829">
        <f t="shared" si="50"/>
        <v>492760</v>
      </c>
    </row>
    <row r="848" spans="1:7" s="435" customFormat="1" ht="112.5" x14ac:dyDescent="0.3">
      <c r="A848" s="1848"/>
      <c r="B848" s="506" t="s">
        <v>618</v>
      </c>
      <c r="C848" s="1446">
        <v>300000</v>
      </c>
      <c r="D848" s="1446"/>
      <c r="E848" s="1460">
        <v>300000</v>
      </c>
      <c r="F848" s="829">
        <f t="shared" si="49"/>
        <v>0</v>
      </c>
      <c r="G848" s="829">
        <f t="shared" si="50"/>
        <v>600000</v>
      </c>
    </row>
    <row r="849" spans="1:7" s="435" customFormat="1" ht="56.25" x14ac:dyDescent="0.3">
      <c r="A849" s="1848"/>
      <c r="B849" s="862" t="s">
        <v>1223</v>
      </c>
      <c r="C849" s="1438">
        <f>SUM(D849:E849)</f>
        <v>4500000</v>
      </c>
      <c r="D849" s="1439">
        <f>1500000+3000000</f>
        <v>4500000</v>
      </c>
      <c r="E849" s="1440"/>
      <c r="F849" s="829">
        <f t="shared" si="49"/>
        <v>0</v>
      </c>
      <c r="G849" s="829">
        <f t="shared" si="50"/>
        <v>9000000</v>
      </c>
    </row>
    <row r="850" spans="1:7" s="435" customFormat="1" ht="93.75" x14ac:dyDescent="0.3">
      <c r="A850" s="1848"/>
      <c r="B850" s="1121" t="s">
        <v>1795</v>
      </c>
      <c r="C850" s="1467">
        <v>500000</v>
      </c>
      <c r="D850" s="1622"/>
      <c r="E850" s="1440">
        <v>500000</v>
      </c>
      <c r="F850" s="829">
        <f t="shared" si="49"/>
        <v>0</v>
      </c>
      <c r="G850" s="829">
        <f t="shared" si="50"/>
        <v>1000000</v>
      </c>
    </row>
    <row r="851" spans="1:7" ht="131.25" x14ac:dyDescent="0.3">
      <c r="A851" s="1848"/>
      <c r="B851" s="1118" t="s">
        <v>1786</v>
      </c>
      <c r="C851" s="1439">
        <v>100000</v>
      </c>
      <c r="D851" s="1439"/>
      <c r="E851" s="1439">
        <v>100000</v>
      </c>
      <c r="F851" s="829">
        <f t="shared" si="49"/>
        <v>0</v>
      </c>
      <c r="G851" s="829">
        <f t="shared" si="50"/>
        <v>200000</v>
      </c>
    </row>
    <row r="852" spans="1:7" ht="75" x14ac:dyDescent="0.3">
      <c r="A852" s="1848"/>
      <c r="B852" s="1118" t="s">
        <v>1787</v>
      </c>
      <c r="C852" s="1439">
        <v>1000000</v>
      </c>
      <c r="D852" s="1439"/>
      <c r="E852" s="1439">
        <v>1000000</v>
      </c>
      <c r="F852" s="829">
        <f t="shared" si="49"/>
        <v>0</v>
      </c>
      <c r="G852" s="829">
        <f t="shared" si="50"/>
        <v>2000000</v>
      </c>
    </row>
    <row r="853" spans="1:7" ht="93.75" x14ac:dyDescent="0.3">
      <c r="A853" s="1848"/>
      <c r="B853" s="1118" t="s">
        <v>1560</v>
      </c>
      <c r="C853" s="1439">
        <v>500000</v>
      </c>
      <c r="D853" s="1439"/>
      <c r="E853" s="1439">
        <v>500000</v>
      </c>
      <c r="F853" s="829">
        <f t="shared" si="49"/>
        <v>0</v>
      </c>
      <c r="G853" s="829">
        <f t="shared" si="50"/>
        <v>1000000</v>
      </c>
    </row>
    <row r="854" spans="1:7" ht="75" x14ac:dyDescent="0.3">
      <c r="A854" s="1848"/>
      <c r="B854" s="1121" t="s">
        <v>1251</v>
      </c>
      <c r="C854" s="1467">
        <v>500000</v>
      </c>
      <c r="D854" s="1622"/>
      <c r="E854" s="1440">
        <v>500000</v>
      </c>
      <c r="F854" s="829">
        <f t="shared" si="49"/>
        <v>0</v>
      </c>
      <c r="G854" s="829">
        <f t="shared" si="50"/>
        <v>1000000</v>
      </c>
    </row>
    <row r="855" spans="1:7" ht="75" x14ac:dyDescent="0.3">
      <c r="A855" s="1848"/>
      <c r="B855" s="1122" t="s">
        <v>1252</v>
      </c>
      <c r="C855" s="1439">
        <v>198000</v>
      </c>
      <c r="D855" s="1622"/>
      <c r="E855" s="1440">
        <v>198000</v>
      </c>
      <c r="F855" s="829">
        <f t="shared" si="49"/>
        <v>0</v>
      </c>
      <c r="G855" s="829">
        <f t="shared" si="50"/>
        <v>396000</v>
      </c>
    </row>
    <row r="856" spans="1:7" ht="37.5" x14ac:dyDescent="0.3">
      <c r="A856" s="1848"/>
      <c r="B856" s="1122" t="s">
        <v>1253</v>
      </c>
      <c r="C856" s="1633">
        <v>30000</v>
      </c>
      <c r="D856" s="1622">
        <v>5990</v>
      </c>
      <c r="E856" s="1440">
        <v>24010</v>
      </c>
      <c r="F856" s="829">
        <f t="shared" si="49"/>
        <v>0</v>
      </c>
      <c r="G856" s="829">
        <f t="shared" si="50"/>
        <v>60000</v>
      </c>
    </row>
    <row r="857" spans="1:7" ht="93.75" x14ac:dyDescent="0.3">
      <c r="A857" s="1848"/>
      <c r="B857" s="1122" t="s">
        <v>1254</v>
      </c>
      <c r="C857" s="1633">
        <v>20000</v>
      </c>
      <c r="D857" s="1622">
        <v>5980</v>
      </c>
      <c r="E857" s="1440">
        <v>14020</v>
      </c>
      <c r="F857" s="829">
        <f t="shared" si="49"/>
        <v>0</v>
      </c>
      <c r="G857" s="829">
        <f t="shared" si="50"/>
        <v>40000</v>
      </c>
    </row>
    <row r="858" spans="1:7" ht="75" x14ac:dyDescent="0.3">
      <c r="A858" s="1848"/>
      <c r="B858" s="1122" t="s">
        <v>1255</v>
      </c>
      <c r="C858" s="1633">
        <v>250000</v>
      </c>
      <c r="D858" s="1622"/>
      <c r="E858" s="1440">
        <v>250000</v>
      </c>
      <c r="F858" s="829">
        <f t="shared" si="49"/>
        <v>0</v>
      </c>
      <c r="G858" s="829">
        <f t="shared" si="50"/>
        <v>500000</v>
      </c>
    </row>
    <row r="859" spans="1:7" ht="56.25" x14ac:dyDescent="0.3">
      <c r="A859" s="1848"/>
      <c r="B859" s="1121" t="s">
        <v>1256</v>
      </c>
      <c r="C859" s="1622">
        <v>380000</v>
      </c>
      <c r="D859" s="1622"/>
      <c r="E859" s="1440">
        <v>380000</v>
      </c>
      <c r="F859" s="829">
        <f t="shared" si="49"/>
        <v>0</v>
      </c>
      <c r="G859" s="829">
        <f t="shared" si="50"/>
        <v>760000</v>
      </c>
    </row>
    <row r="860" spans="1:7" ht="56.25" x14ac:dyDescent="0.3">
      <c r="A860" s="1848"/>
      <c r="B860" s="1121" t="s">
        <v>1257</v>
      </c>
      <c r="C860" s="1622">
        <v>20000</v>
      </c>
      <c r="D860" s="1622"/>
      <c r="E860" s="1440">
        <v>20000</v>
      </c>
      <c r="F860" s="829">
        <f t="shared" si="49"/>
        <v>0</v>
      </c>
      <c r="G860" s="829">
        <f t="shared" si="50"/>
        <v>40000</v>
      </c>
    </row>
    <row r="861" spans="1:7" ht="75" x14ac:dyDescent="0.3">
      <c r="A861" s="1848"/>
      <c r="B861" s="1121" t="s">
        <v>1258</v>
      </c>
      <c r="C861" s="1622">
        <v>20000</v>
      </c>
      <c r="D861" s="1622">
        <v>20000</v>
      </c>
      <c r="E861" s="1440"/>
      <c r="F861" s="829">
        <f t="shared" si="49"/>
        <v>0</v>
      </c>
      <c r="G861" s="829">
        <f t="shared" si="50"/>
        <v>40000</v>
      </c>
    </row>
    <row r="862" spans="1:7" ht="75" x14ac:dyDescent="0.3">
      <c r="A862" s="1848"/>
      <c r="B862" s="1121" t="s">
        <v>1259</v>
      </c>
      <c r="C862" s="1622">
        <v>20000</v>
      </c>
      <c r="D862" s="1622">
        <v>5990</v>
      </c>
      <c r="E862" s="1440">
        <v>14010</v>
      </c>
      <c r="F862" s="829">
        <f t="shared" si="49"/>
        <v>0</v>
      </c>
      <c r="G862" s="829">
        <f t="shared" si="50"/>
        <v>40000</v>
      </c>
    </row>
    <row r="863" spans="1:7" ht="75" x14ac:dyDescent="0.3">
      <c r="A863" s="1848"/>
      <c r="B863" s="1121" t="s">
        <v>1260</v>
      </c>
      <c r="C863" s="1622">
        <v>20000</v>
      </c>
      <c r="D863" s="1622">
        <v>12000</v>
      </c>
      <c r="E863" s="1440">
        <v>8000</v>
      </c>
      <c r="F863" s="829">
        <f t="shared" si="49"/>
        <v>0</v>
      </c>
      <c r="G863" s="829">
        <f t="shared" si="50"/>
        <v>40000</v>
      </c>
    </row>
    <row r="864" spans="1:7" ht="75" x14ac:dyDescent="0.3">
      <c r="A864" s="1848"/>
      <c r="B864" s="1121" t="s">
        <v>1261</v>
      </c>
      <c r="C864" s="1622">
        <v>20000</v>
      </c>
      <c r="D864" s="1622"/>
      <c r="E864" s="1440">
        <v>20000</v>
      </c>
      <c r="F864" s="829">
        <f t="shared" si="49"/>
        <v>0</v>
      </c>
      <c r="G864" s="829">
        <f t="shared" si="50"/>
        <v>40000</v>
      </c>
    </row>
    <row r="865" spans="1:7" ht="33.6" customHeight="1" x14ac:dyDescent="0.3">
      <c r="A865" s="1848"/>
      <c r="B865" s="1121" t="s">
        <v>1262</v>
      </c>
      <c r="C865" s="1622">
        <v>20000</v>
      </c>
      <c r="D865" s="1622">
        <v>20000</v>
      </c>
      <c r="E865" s="1440"/>
      <c r="F865" s="829">
        <f t="shared" si="49"/>
        <v>0</v>
      </c>
      <c r="G865" s="829">
        <f t="shared" si="50"/>
        <v>40000</v>
      </c>
    </row>
    <row r="866" spans="1:7" ht="37.5" x14ac:dyDescent="0.3">
      <c r="A866" s="1848"/>
      <c r="B866" s="506" t="s">
        <v>2262</v>
      </c>
      <c r="C866" s="565">
        <v>36200</v>
      </c>
      <c r="D866" s="565">
        <v>36200</v>
      </c>
      <c r="E866" s="586"/>
      <c r="F866" s="829">
        <f t="shared" si="49"/>
        <v>0</v>
      </c>
      <c r="G866" s="829">
        <f t="shared" si="50"/>
        <v>72400</v>
      </c>
    </row>
    <row r="867" spans="1:7" ht="56.25" x14ac:dyDescent="0.3">
      <c r="A867" s="1848"/>
      <c r="B867" s="1630" t="s">
        <v>1517</v>
      </c>
      <c r="C867" s="565">
        <v>5000</v>
      </c>
      <c r="D867" s="565"/>
      <c r="E867" s="586">
        <v>5000</v>
      </c>
      <c r="F867" s="829">
        <f t="shared" si="49"/>
        <v>0</v>
      </c>
      <c r="G867" s="829">
        <f t="shared" si="50"/>
        <v>10000</v>
      </c>
    </row>
    <row r="868" spans="1:7" ht="56.25" x14ac:dyDescent="0.3">
      <c r="A868" s="1848"/>
      <c r="B868" s="1630" t="s">
        <v>1518</v>
      </c>
      <c r="C868" s="565">
        <v>25000</v>
      </c>
      <c r="D868" s="565"/>
      <c r="E868" s="586">
        <v>25000</v>
      </c>
      <c r="F868" s="829">
        <f t="shared" si="49"/>
        <v>0</v>
      </c>
      <c r="G868" s="829">
        <f t="shared" si="50"/>
        <v>50000</v>
      </c>
    </row>
    <row r="869" spans="1:7" ht="56.25" x14ac:dyDescent="0.3">
      <c r="A869" s="1848"/>
      <c r="B869" s="1630" t="s">
        <v>1519</v>
      </c>
      <c r="C869" s="565">
        <v>36200</v>
      </c>
      <c r="D869" s="565">
        <v>36200</v>
      </c>
      <c r="E869" s="586"/>
      <c r="F869" s="829">
        <f t="shared" si="49"/>
        <v>0</v>
      </c>
      <c r="G869" s="829">
        <f t="shared" si="50"/>
        <v>72400</v>
      </c>
    </row>
    <row r="870" spans="1:7" ht="112.5" x14ac:dyDescent="0.3">
      <c r="A870" s="1848"/>
      <c r="B870" s="862" t="s">
        <v>1534</v>
      </c>
      <c r="C870" s="1438">
        <f>SUM(D870:E870)</f>
        <v>44520</v>
      </c>
      <c r="D870" s="1438">
        <v>44520</v>
      </c>
      <c r="E870" s="1440"/>
      <c r="F870" s="829">
        <f t="shared" ref="F870:F890" si="51">E870+D870-C870</f>
        <v>0</v>
      </c>
      <c r="G870" s="829">
        <f t="shared" si="50"/>
        <v>89040</v>
      </c>
    </row>
    <row r="871" spans="1:7" ht="93.75" x14ac:dyDescent="0.3">
      <c r="A871" s="1848"/>
      <c r="B871" s="862" t="s">
        <v>1678</v>
      </c>
      <c r="C871" s="1438">
        <v>8000000</v>
      </c>
      <c r="D871" s="1438"/>
      <c r="E871" s="892">
        <v>8000000</v>
      </c>
      <c r="F871" s="829">
        <f t="shared" si="51"/>
        <v>0</v>
      </c>
      <c r="G871" s="829">
        <f t="shared" si="50"/>
        <v>16000000</v>
      </c>
    </row>
    <row r="872" spans="1:7" ht="150" x14ac:dyDescent="0.3">
      <c r="A872" s="1848"/>
      <c r="B872" s="506" t="s">
        <v>1679</v>
      </c>
      <c r="C872" s="1438">
        <v>3000000</v>
      </c>
      <c r="D872" s="1438"/>
      <c r="E872" s="892">
        <v>3000000</v>
      </c>
      <c r="F872" s="829">
        <f t="shared" si="51"/>
        <v>0</v>
      </c>
      <c r="G872" s="829">
        <f t="shared" si="50"/>
        <v>6000000</v>
      </c>
    </row>
    <row r="873" spans="1:7" ht="93.75" x14ac:dyDescent="0.3">
      <c r="A873" s="1848"/>
      <c r="B873" s="506" t="s">
        <v>1680</v>
      </c>
      <c r="C873" s="565">
        <v>45000</v>
      </c>
      <c r="D873" s="565">
        <v>45000</v>
      </c>
      <c r="E873" s="565"/>
      <c r="F873" s="829">
        <f t="shared" si="51"/>
        <v>0</v>
      </c>
      <c r="G873" s="829">
        <f t="shared" si="50"/>
        <v>90000</v>
      </c>
    </row>
    <row r="874" spans="1:7" ht="93.75" x14ac:dyDescent="0.3">
      <c r="A874" s="1848"/>
      <c r="B874" s="506" t="s">
        <v>1681</v>
      </c>
      <c r="C874" s="565">
        <v>413800</v>
      </c>
      <c r="D874" s="565"/>
      <c r="E874" s="565">
        <v>413800</v>
      </c>
      <c r="F874" s="829">
        <f t="shared" si="51"/>
        <v>0</v>
      </c>
      <c r="G874" s="829">
        <f t="shared" si="50"/>
        <v>827600</v>
      </c>
    </row>
    <row r="875" spans="1:7" ht="131.25" x14ac:dyDescent="0.3">
      <c r="A875" s="1848"/>
      <c r="B875" s="506" t="s">
        <v>1788</v>
      </c>
      <c r="C875" s="565">
        <v>100000</v>
      </c>
      <c r="D875" s="1457"/>
      <c r="E875" s="1457">
        <v>100000</v>
      </c>
      <c r="F875" s="829">
        <f t="shared" si="51"/>
        <v>0</v>
      </c>
      <c r="G875" s="829">
        <f t="shared" si="50"/>
        <v>200000</v>
      </c>
    </row>
    <row r="876" spans="1:7" ht="131.25" x14ac:dyDescent="0.3">
      <c r="A876" s="1848"/>
      <c r="B876" s="506" t="s">
        <v>1789</v>
      </c>
      <c r="C876" s="565">
        <v>49500</v>
      </c>
      <c r="D876" s="1457">
        <v>49500</v>
      </c>
      <c r="E876" s="1457"/>
      <c r="F876" s="829">
        <f t="shared" si="51"/>
        <v>0</v>
      </c>
      <c r="G876" s="829">
        <f t="shared" si="50"/>
        <v>99000</v>
      </c>
    </row>
    <row r="877" spans="1:7" ht="93.75" x14ac:dyDescent="0.3">
      <c r="A877" s="1848"/>
      <c r="B877" s="862" t="s">
        <v>1682</v>
      </c>
      <c r="C877" s="565">
        <v>30000</v>
      </c>
      <c r="D877" s="1457">
        <v>30000</v>
      </c>
      <c r="E877" s="1457"/>
      <c r="F877" s="829">
        <f t="shared" si="51"/>
        <v>0</v>
      </c>
      <c r="G877" s="829">
        <f t="shared" si="50"/>
        <v>60000</v>
      </c>
    </row>
    <row r="878" spans="1:7" ht="112.5" x14ac:dyDescent="0.3">
      <c r="A878" s="1848"/>
      <c r="B878" s="506" t="s">
        <v>1683</v>
      </c>
      <c r="C878" s="565">
        <v>30000</v>
      </c>
      <c r="D878" s="1457">
        <v>30000</v>
      </c>
      <c r="E878" s="1457"/>
      <c r="F878" s="829">
        <f t="shared" si="51"/>
        <v>0</v>
      </c>
      <c r="G878" s="829">
        <f t="shared" si="50"/>
        <v>60000</v>
      </c>
    </row>
    <row r="879" spans="1:7" ht="112.5" x14ac:dyDescent="0.3">
      <c r="A879" s="1848"/>
      <c r="B879" s="506" t="s">
        <v>1684</v>
      </c>
      <c r="C879" s="565">
        <v>48500</v>
      </c>
      <c r="D879" s="565">
        <v>48500</v>
      </c>
      <c r="E879" s="565"/>
      <c r="F879" s="829">
        <f t="shared" si="51"/>
        <v>0</v>
      </c>
      <c r="G879" s="829">
        <f t="shared" si="50"/>
        <v>97000</v>
      </c>
    </row>
    <row r="880" spans="1:7" ht="112.5" x14ac:dyDescent="0.3">
      <c r="A880" s="1848"/>
      <c r="B880" s="506" t="s">
        <v>1685</v>
      </c>
      <c r="C880" s="1457">
        <v>48900</v>
      </c>
      <c r="D880" s="1457">
        <v>48900</v>
      </c>
      <c r="E880" s="1457"/>
      <c r="F880" s="829">
        <f t="shared" si="51"/>
        <v>0</v>
      </c>
      <c r="G880" s="829">
        <f t="shared" si="50"/>
        <v>97800</v>
      </c>
    </row>
    <row r="881" spans="1:7" ht="75" x14ac:dyDescent="0.3">
      <c r="A881" s="1848"/>
      <c r="B881" s="862" t="s">
        <v>1686</v>
      </c>
      <c r="C881" s="1457">
        <v>285000</v>
      </c>
      <c r="D881" s="1457">
        <v>285000</v>
      </c>
      <c r="E881" s="1457"/>
      <c r="F881" s="829">
        <f t="shared" si="51"/>
        <v>0</v>
      </c>
      <c r="G881" s="829">
        <f t="shared" si="50"/>
        <v>570000</v>
      </c>
    </row>
    <row r="882" spans="1:7" ht="131.25" x14ac:dyDescent="0.3">
      <c r="A882" s="1848"/>
      <c r="B882" s="506" t="s">
        <v>1790</v>
      </c>
      <c r="C882" s="1457">
        <v>25000</v>
      </c>
      <c r="D882" s="1457">
        <v>25000</v>
      </c>
      <c r="E882" s="1457"/>
      <c r="F882" s="829">
        <f t="shared" si="51"/>
        <v>0</v>
      </c>
      <c r="G882" s="829">
        <f t="shared" si="50"/>
        <v>50000</v>
      </c>
    </row>
    <row r="883" spans="1:7" ht="131.25" x14ac:dyDescent="0.3">
      <c r="A883" s="1848"/>
      <c r="B883" s="506" t="s">
        <v>1791</v>
      </c>
      <c r="C883" s="1457">
        <v>49000</v>
      </c>
      <c r="D883" s="1457">
        <v>49000</v>
      </c>
      <c r="E883" s="1457"/>
      <c r="F883" s="829">
        <f t="shared" si="51"/>
        <v>0</v>
      </c>
      <c r="G883" s="829">
        <f t="shared" si="50"/>
        <v>98000</v>
      </c>
    </row>
    <row r="884" spans="1:7" ht="168.75" x14ac:dyDescent="0.3">
      <c r="A884" s="1848"/>
      <c r="B884" s="862" t="s">
        <v>1687</v>
      </c>
      <c r="C884" s="1457">
        <v>150000</v>
      </c>
      <c r="D884" s="1457">
        <v>150000</v>
      </c>
      <c r="E884" s="1457"/>
      <c r="F884" s="829">
        <f t="shared" si="51"/>
        <v>0</v>
      </c>
      <c r="G884" s="829">
        <f t="shared" si="50"/>
        <v>300000</v>
      </c>
    </row>
    <row r="885" spans="1:7" ht="168.75" x14ac:dyDescent="0.3">
      <c r="A885" s="1848"/>
      <c r="B885" s="862" t="s">
        <v>1688</v>
      </c>
      <c r="C885" s="1457">
        <v>150000</v>
      </c>
      <c r="D885" s="1457">
        <v>150000</v>
      </c>
      <c r="E885" s="1457"/>
      <c r="F885" s="829">
        <f t="shared" si="51"/>
        <v>0</v>
      </c>
      <c r="G885" s="829">
        <f t="shared" si="50"/>
        <v>300000</v>
      </c>
    </row>
    <row r="886" spans="1:7" ht="150" x14ac:dyDescent="0.3">
      <c r="A886" s="1848"/>
      <c r="B886" s="862" t="s">
        <v>1689</v>
      </c>
      <c r="C886" s="1457">
        <v>163800</v>
      </c>
      <c r="D886" s="1457">
        <v>163800</v>
      </c>
      <c r="E886" s="1457"/>
      <c r="F886" s="829">
        <f t="shared" si="51"/>
        <v>0</v>
      </c>
      <c r="G886" s="829">
        <f t="shared" si="50"/>
        <v>327600</v>
      </c>
    </row>
    <row r="887" spans="1:7" ht="56.25" x14ac:dyDescent="0.3">
      <c r="A887" s="1848"/>
      <c r="B887" s="862" t="s">
        <v>1898</v>
      </c>
      <c r="C887" s="882">
        <v>76260</v>
      </c>
      <c r="D887" s="882"/>
      <c r="E887" s="883">
        <v>76260</v>
      </c>
      <c r="F887" s="829">
        <f t="shared" si="51"/>
        <v>0</v>
      </c>
      <c r="G887" s="829">
        <f t="shared" si="50"/>
        <v>152520</v>
      </c>
    </row>
    <row r="888" spans="1:7" ht="75" x14ac:dyDescent="0.3">
      <c r="A888" s="1848"/>
      <c r="B888" s="862" t="s">
        <v>1899</v>
      </c>
      <c r="C888" s="882">
        <v>19000</v>
      </c>
      <c r="D888" s="882">
        <v>4000</v>
      </c>
      <c r="E888" s="883">
        <v>15000</v>
      </c>
      <c r="F888" s="829">
        <f t="shared" si="51"/>
        <v>0</v>
      </c>
      <c r="G888" s="829">
        <f t="shared" si="50"/>
        <v>38000</v>
      </c>
    </row>
    <row r="889" spans="1:7" ht="75" x14ac:dyDescent="0.3">
      <c r="A889" s="1848"/>
      <c r="B889" s="862" t="s">
        <v>1900</v>
      </c>
      <c r="C889" s="882">
        <v>100000</v>
      </c>
      <c r="D889" s="882"/>
      <c r="E889" s="883">
        <v>100000</v>
      </c>
      <c r="F889" s="829">
        <f t="shared" si="51"/>
        <v>0</v>
      </c>
      <c r="G889" s="829">
        <f t="shared" si="50"/>
        <v>200000</v>
      </c>
    </row>
    <row r="890" spans="1:7" ht="168.75" x14ac:dyDescent="0.3">
      <c r="A890" s="1848"/>
      <c r="B890" s="507" t="s">
        <v>1917</v>
      </c>
      <c r="C890" s="1439">
        <f>SUM(D890:E890)</f>
        <v>21000</v>
      </c>
      <c r="D890" s="1439">
        <f>9000+12000</f>
        <v>21000</v>
      </c>
      <c r="E890" s="1440"/>
      <c r="F890" s="829">
        <f t="shared" si="51"/>
        <v>0</v>
      </c>
      <c r="G890" s="829">
        <f t="shared" si="50"/>
        <v>42000</v>
      </c>
    </row>
    <row r="891" spans="1:7" ht="56.25" x14ac:dyDescent="0.3">
      <c r="A891" s="1848"/>
      <c r="B891" s="506" t="s">
        <v>2075</v>
      </c>
      <c r="C891" s="565">
        <v>40000</v>
      </c>
      <c r="D891" s="565">
        <v>40000</v>
      </c>
      <c r="E891" s="1117"/>
      <c r="F891" s="829"/>
      <c r="G891" s="829">
        <f t="shared" si="50"/>
        <v>80000</v>
      </c>
    </row>
    <row r="892" spans="1:7" ht="37.5" x14ac:dyDescent="0.3">
      <c r="A892" s="1848"/>
      <c r="B892" s="506" t="s">
        <v>1981</v>
      </c>
      <c r="C892" s="565">
        <v>220000</v>
      </c>
      <c r="D892" s="565"/>
      <c r="E892" s="586">
        <v>220000</v>
      </c>
      <c r="F892" s="829"/>
      <c r="G892" s="829">
        <f t="shared" si="50"/>
        <v>440000</v>
      </c>
    </row>
    <row r="893" spans="1:7" ht="37.5" x14ac:dyDescent="0.3">
      <c r="A893" s="1848"/>
      <c r="B893" s="506" t="s">
        <v>1981</v>
      </c>
      <c r="C893" s="565">
        <v>213800</v>
      </c>
      <c r="D893" s="565"/>
      <c r="E893" s="586">
        <v>213800</v>
      </c>
      <c r="F893" s="829"/>
      <c r="G893" s="829">
        <f t="shared" si="50"/>
        <v>427600</v>
      </c>
    </row>
    <row r="894" spans="1:7" ht="56.25" x14ac:dyDescent="0.3">
      <c r="A894" s="1848"/>
      <c r="B894" s="506" t="s">
        <v>1996</v>
      </c>
      <c r="C894" s="565">
        <v>12000</v>
      </c>
      <c r="D894" s="565">
        <v>12000</v>
      </c>
      <c r="E894" s="565"/>
      <c r="F894" s="829"/>
      <c r="G894" s="829">
        <f t="shared" si="50"/>
        <v>24000</v>
      </c>
    </row>
    <row r="895" spans="1:7" ht="75" x14ac:dyDescent="0.3">
      <c r="A895" s="1848"/>
      <c r="B895" s="506" t="s">
        <v>1997</v>
      </c>
      <c r="C895" s="565">
        <v>16700</v>
      </c>
      <c r="D895" s="565">
        <v>16700</v>
      </c>
      <c r="E895" s="565"/>
      <c r="F895" s="829"/>
      <c r="G895" s="829">
        <f t="shared" si="50"/>
        <v>33400</v>
      </c>
    </row>
    <row r="896" spans="1:7" ht="56.25" x14ac:dyDescent="0.3">
      <c r="A896" s="1848"/>
      <c r="B896" s="506" t="s">
        <v>1998</v>
      </c>
      <c r="C896" s="565">
        <v>15000</v>
      </c>
      <c r="D896" s="565"/>
      <c r="E896" s="565">
        <v>15000</v>
      </c>
      <c r="F896" s="829"/>
      <c r="G896" s="829">
        <f t="shared" si="50"/>
        <v>30000</v>
      </c>
    </row>
    <row r="897" spans="1:7" ht="75" x14ac:dyDescent="0.3">
      <c r="A897" s="1848"/>
      <c r="B897" s="506" t="s">
        <v>1999</v>
      </c>
      <c r="C897" s="565">
        <v>7000</v>
      </c>
      <c r="D897" s="565">
        <v>7000</v>
      </c>
      <c r="E897" s="565"/>
      <c r="F897" s="829"/>
      <c r="G897" s="829">
        <f t="shared" si="50"/>
        <v>14000</v>
      </c>
    </row>
    <row r="898" spans="1:7" ht="75" x14ac:dyDescent="0.3">
      <c r="A898" s="1848"/>
      <c r="B898" s="506" t="s">
        <v>2000</v>
      </c>
      <c r="C898" s="565">
        <v>20000</v>
      </c>
      <c r="D898" s="565"/>
      <c r="E898" s="586">
        <v>20000</v>
      </c>
      <c r="F898" s="829"/>
      <c r="G898" s="829">
        <f t="shared" si="50"/>
        <v>40000</v>
      </c>
    </row>
    <row r="899" spans="1:7" ht="75" x14ac:dyDescent="0.3">
      <c r="A899" s="1848"/>
      <c r="B899" s="506" t="s">
        <v>2041</v>
      </c>
      <c r="C899" s="1631">
        <v>59956</v>
      </c>
      <c r="D899" s="1631"/>
      <c r="E899" s="1631">
        <v>59956</v>
      </c>
      <c r="F899" s="829"/>
      <c r="G899" s="829">
        <f t="shared" si="50"/>
        <v>119912</v>
      </c>
    </row>
    <row r="900" spans="1:7" ht="37.5" x14ac:dyDescent="0.3">
      <c r="A900" s="1848"/>
      <c r="B900" s="506" t="s">
        <v>2042</v>
      </c>
      <c r="C900" s="1631">
        <v>49000</v>
      </c>
      <c r="D900" s="1631">
        <v>49000</v>
      </c>
      <c r="E900" s="1631"/>
      <c r="F900" s="829"/>
      <c r="G900" s="829">
        <f t="shared" si="50"/>
        <v>98000</v>
      </c>
    </row>
    <row r="901" spans="1:7" ht="112.5" x14ac:dyDescent="0.3">
      <c r="A901" s="1848"/>
      <c r="B901" s="862" t="s">
        <v>2043</v>
      </c>
      <c r="C901" s="1631">
        <v>108956</v>
      </c>
      <c r="D901" s="1627"/>
      <c r="E901" s="1627">
        <v>108956</v>
      </c>
      <c r="F901" s="829"/>
      <c r="G901" s="829">
        <f t="shared" si="50"/>
        <v>217912</v>
      </c>
    </row>
    <row r="902" spans="1:7" ht="112.5" x14ac:dyDescent="0.3">
      <c r="A902" s="1848"/>
      <c r="B902" s="862" t="s">
        <v>2044</v>
      </c>
      <c r="C902" s="1627">
        <v>65000</v>
      </c>
      <c r="D902" s="1627"/>
      <c r="E902" s="1627">
        <v>65000</v>
      </c>
      <c r="F902" s="829"/>
      <c r="G902" s="829">
        <f t="shared" si="50"/>
        <v>130000</v>
      </c>
    </row>
    <row r="903" spans="1:7" ht="37.5" x14ac:dyDescent="0.3">
      <c r="A903" s="1848"/>
      <c r="B903" s="862" t="s">
        <v>1981</v>
      </c>
      <c r="C903" s="1627">
        <v>108956</v>
      </c>
      <c r="D903" s="1627"/>
      <c r="E903" s="1627">
        <v>108956</v>
      </c>
      <c r="F903" s="829"/>
      <c r="G903" s="829">
        <f t="shared" si="50"/>
        <v>217912</v>
      </c>
    </row>
    <row r="904" spans="1:7" ht="112.5" x14ac:dyDescent="0.3">
      <c r="A904" s="1848"/>
      <c r="B904" s="862" t="s">
        <v>2045</v>
      </c>
      <c r="C904" s="1627">
        <v>49000</v>
      </c>
      <c r="D904" s="1627">
        <v>49000</v>
      </c>
      <c r="E904" s="1627"/>
      <c r="F904" s="829"/>
      <c r="G904" s="829">
        <f t="shared" si="50"/>
        <v>98000</v>
      </c>
    </row>
    <row r="905" spans="1:7" ht="112.5" x14ac:dyDescent="0.3">
      <c r="A905" s="1848"/>
      <c r="B905" s="862" t="s">
        <v>2046</v>
      </c>
      <c r="C905" s="1627">
        <v>11956</v>
      </c>
      <c r="D905" s="1627">
        <v>11956</v>
      </c>
      <c r="E905" s="1627"/>
      <c r="F905" s="829"/>
      <c r="G905" s="829">
        <f t="shared" ref="G905:G968" si="52">SUM(C905:E905)</f>
        <v>23912</v>
      </c>
    </row>
    <row r="906" spans="1:7" ht="112.5" x14ac:dyDescent="0.3">
      <c r="A906" s="1848"/>
      <c r="B906" s="862" t="s">
        <v>2046</v>
      </c>
      <c r="C906" s="1627">
        <v>28044</v>
      </c>
      <c r="D906" s="1627">
        <v>28044</v>
      </c>
      <c r="E906" s="1627"/>
      <c r="F906" s="829"/>
      <c r="G906" s="829">
        <f t="shared" si="52"/>
        <v>56088</v>
      </c>
    </row>
    <row r="907" spans="1:7" ht="112.5" x14ac:dyDescent="0.3">
      <c r="A907" s="1848"/>
      <c r="B907" s="862" t="s">
        <v>2047</v>
      </c>
      <c r="C907" s="1627">
        <v>40000</v>
      </c>
      <c r="D907" s="1627">
        <v>40000</v>
      </c>
      <c r="E907" s="1627"/>
      <c r="F907" s="829"/>
      <c r="G907" s="829">
        <f t="shared" si="52"/>
        <v>80000</v>
      </c>
    </row>
    <row r="908" spans="1:7" ht="131.25" x14ac:dyDescent="0.3">
      <c r="A908" s="1848"/>
      <c r="B908" s="862" t="s">
        <v>2048</v>
      </c>
      <c r="C908" s="1627">
        <v>40912</v>
      </c>
      <c r="D908" s="1627"/>
      <c r="E908" s="1627">
        <v>40912</v>
      </c>
      <c r="F908" s="829"/>
      <c r="G908" s="829">
        <f t="shared" si="52"/>
        <v>81824</v>
      </c>
    </row>
    <row r="909" spans="1:7" ht="131.25" x14ac:dyDescent="0.3">
      <c r="A909" s="1848"/>
      <c r="B909" s="862" t="s">
        <v>2048</v>
      </c>
      <c r="C909" s="1627">
        <v>4088</v>
      </c>
      <c r="D909" s="1627"/>
      <c r="E909" s="1627">
        <v>4088</v>
      </c>
      <c r="F909" s="829"/>
      <c r="G909" s="829">
        <f t="shared" si="52"/>
        <v>8176</v>
      </c>
    </row>
    <row r="910" spans="1:7" ht="112.5" x14ac:dyDescent="0.3">
      <c r="A910" s="1848"/>
      <c r="B910" s="1045" t="s">
        <v>1951</v>
      </c>
      <c r="C910" s="883">
        <f>3201600+209700</f>
        <v>3411300</v>
      </c>
      <c r="D910" s="883"/>
      <c r="E910" s="883">
        <f>3201600+209700</f>
        <v>3411300</v>
      </c>
      <c r="F910" s="829"/>
      <c r="G910" s="829">
        <f t="shared" si="52"/>
        <v>6822600</v>
      </c>
    </row>
    <row r="911" spans="1:7" ht="112.5" x14ac:dyDescent="0.3">
      <c r="A911" s="1848"/>
      <c r="B911" s="1045" t="s">
        <v>2080</v>
      </c>
      <c r="C911" s="883">
        <v>600000</v>
      </c>
      <c r="D911" s="883">
        <v>600000</v>
      </c>
      <c r="E911" s="883"/>
      <c r="F911" s="829"/>
      <c r="G911" s="829">
        <f t="shared" si="52"/>
        <v>1200000</v>
      </c>
    </row>
    <row r="912" spans="1:7" ht="112.5" x14ac:dyDescent="0.3">
      <c r="A912" s="1848"/>
      <c r="B912" s="1623" t="s">
        <v>2179</v>
      </c>
      <c r="C912" s="1631">
        <v>36200</v>
      </c>
      <c r="D912" s="1631">
        <v>36200</v>
      </c>
      <c r="E912" s="1625"/>
      <c r="F912" s="829"/>
      <c r="G912" s="829">
        <f t="shared" si="52"/>
        <v>72400</v>
      </c>
    </row>
    <row r="913" spans="1:7" ht="75" x14ac:dyDescent="0.3">
      <c r="A913" s="1848"/>
      <c r="B913" s="1644" t="s">
        <v>2180</v>
      </c>
      <c r="C913" s="1625">
        <v>36200</v>
      </c>
      <c r="D913" s="1625"/>
      <c r="E913" s="1625">
        <v>36200</v>
      </c>
      <c r="F913" s="829"/>
      <c r="G913" s="829">
        <f t="shared" si="52"/>
        <v>72400</v>
      </c>
    </row>
    <row r="914" spans="1:7" ht="150" x14ac:dyDescent="0.3">
      <c r="A914" s="1848"/>
      <c r="B914" s="1623" t="s">
        <v>2181</v>
      </c>
      <c r="C914" s="1625">
        <v>91000</v>
      </c>
      <c r="D914" s="1625"/>
      <c r="E914" s="1625">
        <v>91000</v>
      </c>
      <c r="F914" s="829"/>
      <c r="G914" s="829">
        <f t="shared" si="52"/>
        <v>182000</v>
      </c>
    </row>
    <row r="915" spans="1:7" ht="37.5" x14ac:dyDescent="0.3">
      <c r="A915" s="1848"/>
      <c r="B915" s="1623" t="s">
        <v>2182</v>
      </c>
      <c r="C915" s="1625">
        <v>16000</v>
      </c>
      <c r="D915" s="1625"/>
      <c r="E915" s="1625">
        <v>16000</v>
      </c>
      <c r="F915" s="829"/>
      <c r="G915" s="829">
        <f t="shared" si="52"/>
        <v>32000</v>
      </c>
    </row>
    <row r="916" spans="1:7" ht="75" x14ac:dyDescent="0.3">
      <c r="A916" s="1848"/>
      <c r="B916" s="506" t="s">
        <v>2183</v>
      </c>
      <c r="C916" s="1625">
        <v>41044</v>
      </c>
      <c r="D916" s="1625">
        <v>41044</v>
      </c>
      <c r="E916" s="1625"/>
      <c r="F916" s="829"/>
      <c r="G916" s="829">
        <f t="shared" si="52"/>
        <v>82088</v>
      </c>
    </row>
    <row r="917" spans="1:7" ht="56.25" x14ac:dyDescent="0.3">
      <c r="A917" s="1848"/>
      <c r="B917" s="1628" t="s">
        <v>2184</v>
      </c>
      <c r="C917" s="1625">
        <v>150000</v>
      </c>
      <c r="D917" s="1625"/>
      <c r="E917" s="1625">
        <v>150000</v>
      </c>
      <c r="F917" s="829"/>
      <c r="G917" s="829">
        <f t="shared" si="52"/>
        <v>300000</v>
      </c>
    </row>
    <row r="918" spans="1:7" ht="112.5" x14ac:dyDescent="0.3">
      <c r="A918" s="1848"/>
      <c r="B918" s="1623" t="s">
        <v>2244</v>
      </c>
      <c r="C918" s="1625">
        <v>16000</v>
      </c>
      <c r="D918" s="1625">
        <v>16000</v>
      </c>
      <c r="E918" s="1625"/>
      <c r="F918" s="829"/>
      <c r="G918" s="829">
        <f t="shared" si="52"/>
        <v>32000</v>
      </c>
    </row>
    <row r="919" spans="1:7" ht="93.75" x14ac:dyDescent="0.3">
      <c r="A919" s="1848"/>
      <c r="B919" s="1623" t="s">
        <v>2245</v>
      </c>
      <c r="C919" s="1625">
        <v>7000</v>
      </c>
      <c r="D919" s="1625">
        <v>7000</v>
      </c>
      <c r="E919" s="1625"/>
      <c r="F919" s="829"/>
      <c r="G919" s="829">
        <f t="shared" si="52"/>
        <v>14000</v>
      </c>
    </row>
    <row r="920" spans="1:7" ht="112.5" x14ac:dyDescent="0.3">
      <c r="A920" s="1848"/>
      <c r="B920" s="1623" t="s">
        <v>2246</v>
      </c>
      <c r="C920" s="1625">
        <v>49750</v>
      </c>
      <c r="D920" s="1625">
        <v>49750</v>
      </c>
      <c r="E920" s="1625"/>
      <c r="F920" s="829"/>
      <c r="G920" s="829">
        <f t="shared" si="52"/>
        <v>99500</v>
      </c>
    </row>
    <row r="921" spans="1:7" ht="93.75" x14ac:dyDescent="0.3">
      <c r="A921" s="1848"/>
      <c r="B921" s="1623" t="s">
        <v>2247</v>
      </c>
      <c r="C921" s="1625">
        <v>49900</v>
      </c>
      <c r="D921" s="1625">
        <v>49900</v>
      </c>
      <c r="E921" s="1625"/>
      <c r="F921" s="829"/>
      <c r="G921" s="829">
        <f t="shared" si="52"/>
        <v>99800</v>
      </c>
    </row>
    <row r="922" spans="1:7" ht="93.75" x14ac:dyDescent="0.3">
      <c r="A922" s="1848"/>
      <c r="B922" s="1623" t="s">
        <v>2248</v>
      </c>
      <c r="C922" s="1625">
        <v>49500</v>
      </c>
      <c r="D922" s="1625">
        <v>49500</v>
      </c>
      <c r="E922" s="1625"/>
      <c r="F922" s="829"/>
      <c r="G922" s="829">
        <f t="shared" si="52"/>
        <v>99000</v>
      </c>
    </row>
    <row r="923" spans="1:7" ht="131.25" x14ac:dyDescent="0.3">
      <c r="A923" s="1848"/>
      <c r="B923" s="1623" t="s">
        <v>2249</v>
      </c>
      <c r="C923" s="1625">
        <v>18000</v>
      </c>
      <c r="D923" s="1625">
        <v>18000</v>
      </c>
      <c r="E923" s="1625"/>
      <c r="F923" s="829"/>
      <c r="G923" s="829">
        <f t="shared" si="52"/>
        <v>36000</v>
      </c>
    </row>
    <row r="924" spans="1:7" ht="37.5" x14ac:dyDescent="0.3">
      <c r="A924" s="1848"/>
      <c r="B924" s="1623" t="s">
        <v>2250</v>
      </c>
      <c r="C924" s="1645">
        <v>40000</v>
      </c>
      <c r="D924" s="1625"/>
      <c r="E924" s="1625">
        <v>40000</v>
      </c>
      <c r="F924" s="829"/>
      <c r="G924" s="829">
        <f t="shared" si="52"/>
        <v>80000</v>
      </c>
    </row>
    <row r="925" spans="1:7" ht="56.25" x14ac:dyDescent="0.3">
      <c r="A925" s="1848"/>
      <c r="B925" s="1623" t="s">
        <v>2251</v>
      </c>
      <c r="C925" s="1645">
        <v>10000</v>
      </c>
      <c r="D925" s="1625">
        <v>10000</v>
      </c>
      <c r="E925" s="1625"/>
      <c r="F925" s="829"/>
      <c r="G925" s="829">
        <f t="shared" si="52"/>
        <v>20000</v>
      </c>
    </row>
    <row r="926" spans="1:7" ht="93.75" x14ac:dyDescent="0.3">
      <c r="A926" s="1848"/>
      <c r="B926" s="1623" t="s">
        <v>2252</v>
      </c>
      <c r="C926" s="1645">
        <v>10000</v>
      </c>
      <c r="D926" s="1625">
        <v>10000</v>
      </c>
      <c r="E926" s="1625"/>
      <c r="F926" s="829"/>
      <c r="G926" s="829">
        <f t="shared" si="52"/>
        <v>20000</v>
      </c>
    </row>
    <row r="927" spans="1:7" ht="75" x14ac:dyDescent="0.3">
      <c r="A927" s="1848"/>
      <c r="B927" s="1623" t="s">
        <v>2253</v>
      </c>
      <c r="C927" s="1645">
        <v>49900</v>
      </c>
      <c r="D927" s="1625">
        <v>49900</v>
      </c>
      <c r="E927" s="1625"/>
      <c r="F927" s="829"/>
      <c r="G927" s="829">
        <f t="shared" si="52"/>
        <v>99800</v>
      </c>
    </row>
    <row r="928" spans="1:7" ht="93.75" x14ac:dyDescent="0.3">
      <c r="A928" s="1848"/>
      <c r="B928" s="1623" t="s">
        <v>2254</v>
      </c>
      <c r="C928" s="1645">
        <v>39100</v>
      </c>
      <c r="D928" s="1625">
        <v>39100</v>
      </c>
      <c r="E928" s="1625"/>
      <c r="F928" s="829"/>
      <c r="G928" s="829">
        <f t="shared" si="52"/>
        <v>78200</v>
      </c>
    </row>
    <row r="929" spans="1:7" ht="112.5" x14ac:dyDescent="0.3">
      <c r="A929" s="1848"/>
      <c r="B929" s="1623" t="s">
        <v>2255</v>
      </c>
      <c r="C929" s="1645">
        <v>42000</v>
      </c>
      <c r="D929" s="1625">
        <v>42000</v>
      </c>
      <c r="E929" s="1625"/>
      <c r="F929" s="829"/>
      <c r="G929" s="829">
        <f t="shared" si="52"/>
        <v>84000</v>
      </c>
    </row>
    <row r="930" spans="1:7" ht="56.25" x14ac:dyDescent="0.3">
      <c r="A930" s="1848"/>
      <c r="B930" s="506" t="s">
        <v>2185</v>
      </c>
      <c r="C930" s="1625">
        <v>20200</v>
      </c>
      <c r="D930" s="1625"/>
      <c r="E930" s="1625">
        <v>20200</v>
      </c>
      <c r="F930" s="829"/>
      <c r="G930" s="829">
        <f t="shared" si="52"/>
        <v>40400</v>
      </c>
    </row>
    <row r="931" spans="1:7" hidden="1" x14ac:dyDescent="0.3">
      <c r="A931" s="1848"/>
      <c r="B931" s="1398"/>
      <c r="C931" s="1399"/>
      <c r="D931" s="1399"/>
      <c r="E931" s="1399"/>
      <c r="F931" s="829"/>
      <c r="G931" s="829">
        <f t="shared" si="52"/>
        <v>0</v>
      </c>
    </row>
    <row r="932" spans="1:7" hidden="1" x14ac:dyDescent="0.3">
      <c r="A932" s="1848"/>
      <c r="B932" s="1398"/>
      <c r="C932" s="1399"/>
      <c r="D932" s="1399"/>
      <c r="E932" s="1399"/>
      <c r="F932" s="829"/>
      <c r="G932" s="829">
        <f t="shared" si="52"/>
        <v>0</v>
      </c>
    </row>
    <row r="933" spans="1:7" hidden="1" x14ac:dyDescent="0.3">
      <c r="A933" s="1848"/>
      <c r="B933" s="1398"/>
      <c r="C933" s="1399"/>
      <c r="D933" s="1399"/>
      <c r="E933" s="1399"/>
      <c r="F933" s="829"/>
      <c r="G933" s="829">
        <f t="shared" si="52"/>
        <v>0</v>
      </c>
    </row>
    <row r="934" spans="1:7" hidden="1" x14ac:dyDescent="0.3">
      <c r="A934" s="1848"/>
      <c r="B934" s="1398"/>
      <c r="C934" s="1399"/>
      <c r="D934" s="1399"/>
      <c r="E934" s="1399"/>
      <c r="F934" s="829"/>
      <c r="G934" s="829">
        <f t="shared" si="52"/>
        <v>0</v>
      </c>
    </row>
    <row r="935" spans="1:7" hidden="1" x14ac:dyDescent="0.3">
      <c r="A935" s="1848"/>
      <c r="B935" s="1398"/>
      <c r="C935" s="1399"/>
      <c r="D935" s="1399"/>
      <c r="E935" s="1399"/>
      <c r="F935" s="829"/>
      <c r="G935" s="829">
        <f t="shared" si="52"/>
        <v>0</v>
      </c>
    </row>
    <row r="936" spans="1:7" hidden="1" x14ac:dyDescent="0.3">
      <c r="A936" s="1848"/>
      <c r="B936" s="1398"/>
      <c r="C936" s="1399"/>
      <c r="D936" s="1399"/>
      <c r="E936" s="1399"/>
      <c r="F936" s="829"/>
      <c r="G936" s="829">
        <f t="shared" si="52"/>
        <v>0</v>
      </c>
    </row>
    <row r="937" spans="1:7" hidden="1" x14ac:dyDescent="0.3">
      <c r="A937" s="1848"/>
      <c r="B937" s="1398"/>
      <c r="C937" s="1399"/>
      <c r="D937" s="1399"/>
      <c r="E937" s="1399"/>
      <c r="F937" s="829"/>
      <c r="G937" s="829">
        <f t="shared" si="52"/>
        <v>0</v>
      </c>
    </row>
    <row r="938" spans="1:7" hidden="1" x14ac:dyDescent="0.3">
      <c r="A938" s="1848"/>
      <c r="B938" s="1382"/>
      <c r="C938" s="1385"/>
      <c r="D938" s="1385"/>
      <c r="E938" s="1386"/>
      <c r="F938" s="829"/>
      <c r="G938" s="829">
        <f t="shared" si="52"/>
        <v>0</v>
      </c>
    </row>
    <row r="939" spans="1:7" hidden="1" x14ac:dyDescent="0.3">
      <c r="A939" s="1848"/>
      <c r="B939" s="1367"/>
      <c r="C939" s="1468"/>
      <c r="D939" s="1468"/>
      <c r="E939" s="1445"/>
      <c r="F939" s="829"/>
      <c r="G939" s="829">
        <f t="shared" si="52"/>
        <v>0</v>
      </c>
    </row>
    <row r="940" spans="1:7" hidden="1" x14ac:dyDescent="0.3">
      <c r="A940" s="1848"/>
      <c r="B940" s="965"/>
      <c r="C940" s="1444"/>
      <c r="D940" s="1444"/>
      <c r="E940" s="1445"/>
      <c r="F940" s="829"/>
      <c r="G940" s="829">
        <f t="shared" si="52"/>
        <v>0</v>
      </c>
    </row>
    <row r="941" spans="1:7" x14ac:dyDescent="0.3">
      <c r="A941" s="1848"/>
      <c r="B941" s="862" t="s">
        <v>740</v>
      </c>
      <c r="C941" s="1438">
        <f>SUM(C847:C940)</f>
        <v>27489522</v>
      </c>
      <c r="D941" s="1438">
        <f>SUM(D847:D940)</f>
        <v>7305054</v>
      </c>
      <c r="E941" s="1438">
        <f>SUM(E847:E940)</f>
        <v>20184468</v>
      </c>
      <c r="F941" s="829">
        <f>E941+D941-C941</f>
        <v>0</v>
      </c>
      <c r="G941" s="829">
        <f t="shared" si="52"/>
        <v>54979044</v>
      </c>
    </row>
    <row r="942" spans="1:7" ht="75" x14ac:dyDescent="0.3">
      <c r="A942" s="1848" t="s">
        <v>1117</v>
      </c>
      <c r="B942" s="507" t="s">
        <v>617</v>
      </c>
      <c r="C942" s="1460">
        <v>41900</v>
      </c>
      <c r="D942" s="1460">
        <v>41900</v>
      </c>
      <c r="E942" s="1460"/>
      <c r="F942" s="829">
        <f>E942+D942-C942</f>
        <v>0</v>
      </c>
      <c r="G942" s="829">
        <f t="shared" si="52"/>
        <v>83800</v>
      </c>
    </row>
    <row r="943" spans="1:7" ht="112.5" hidden="1" x14ac:dyDescent="0.3">
      <c r="A943" s="1848"/>
      <c r="B943" s="506" t="s">
        <v>618</v>
      </c>
      <c r="C943" s="1446"/>
      <c r="D943" s="1446"/>
      <c r="E943" s="586"/>
      <c r="F943" s="829">
        <f t="shared" ref="F943:F950" si="53">E943+D943-C943</f>
        <v>0</v>
      </c>
      <c r="G943" s="829">
        <f t="shared" si="52"/>
        <v>0</v>
      </c>
    </row>
    <row r="944" spans="1:7" ht="112.5" x14ac:dyDescent="0.3">
      <c r="A944" s="1848"/>
      <c r="B944" s="862" t="s">
        <v>1554</v>
      </c>
      <c r="C944" s="565">
        <v>300000</v>
      </c>
      <c r="D944" s="565"/>
      <c r="E944" s="586">
        <v>300000</v>
      </c>
      <c r="F944" s="829">
        <f t="shared" si="53"/>
        <v>0</v>
      </c>
      <c r="G944" s="829">
        <f t="shared" si="52"/>
        <v>600000</v>
      </c>
    </row>
    <row r="945" spans="1:7" ht="75" x14ac:dyDescent="0.3">
      <c r="A945" s="1848"/>
      <c r="B945" s="1118" t="s">
        <v>1297</v>
      </c>
      <c r="C945" s="1439">
        <v>150000</v>
      </c>
      <c r="D945" s="1439"/>
      <c r="E945" s="1439">
        <v>150000</v>
      </c>
      <c r="F945" s="829">
        <f t="shared" si="53"/>
        <v>0</v>
      </c>
      <c r="G945" s="829">
        <f t="shared" si="52"/>
        <v>300000</v>
      </c>
    </row>
    <row r="946" spans="1:7" ht="131.25" x14ac:dyDescent="0.3">
      <c r="A946" s="1848"/>
      <c r="B946" s="1122" t="s">
        <v>2297</v>
      </c>
      <c r="C946" s="1634">
        <v>200000</v>
      </c>
      <c r="D946" s="1622"/>
      <c r="E946" s="1440">
        <v>200000</v>
      </c>
      <c r="F946" s="829">
        <f t="shared" si="53"/>
        <v>0</v>
      </c>
      <c r="G946" s="829">
        <f t="shared" si="52"/>
        <v>400000</v>
      </c>
    </row>
    <row r="947" spans="1:7" ht="93.75" x14ac:dyDescent="0.3">
      <c r="A947" s="1848"/>
      <c r="B947" s="862" t="s">
        <v>1690</v>
      </c>
      <c r="C947" s="1438">
        <f>SUM(D947:E947)</f>
        <v>463800</v>
      </c>
      <c r="D947" s="1438"/>
      <c r="E947" s="1457">
        <v>463800</v>
      </c>
      <c r="F947" s="829">
        <f t="shared" si="53"/>
        <v>0</v>
      </c>
      <c r="G947" s="829">
        <f t="shared" si="52"/>
        <v>927600</v>
      </c>
    </row>
    <row r="948" spans="1:7" ht="93.75" x14ac:dyDescent="0.3">
      <c r="A948" s="1848"/>
      <c r="B948" s="506" t="s">
        <v>1691</v>
      </c>
      <c r="C948" s="1438">
        <f>SUM(D948:E948)</f>
        <v>145000</v>
      </c>
      <c r="D948" s="1438"/>
      <c r="E948" s="565">
        <v>145000</v>
      </c>
      <c r="F948" s="829">
        <f t="shared" si="53"/>
        <v>0</v>
      </c>
      <c r="G948" s="829">
        <f t="shared" si="52"/>
        <v>290000</v>
      </c>
    </row>
    <row r="949" spans="1:7" ht="56.25" x14ac:dyDescent="0.3">
      <c r="A949" s="1848"/>
      <c r="B949" s="862" t="s">
        <v>1692</v>
      </c>
      <c r="C949" s="1438">
        <f>SUM(D949:E949)</f>
        <v>49900</v>
      </c>
      <c r="D949" s="1457">
        <f>49900-49900</f>
        <v>0</v>
      </c>
      <c r="E949" s="892">
        <v>49900</v>
      </c>
      <c r="F949" s="829">
        <f t="shared" si="53"/>
        <v>0</v>
      </c>
      <c r="G949" s="829">
        <f t="shared" si="52"/>
        <v>99800</v>
      </c>
    </row>
    <row r="950" spans="1:7" ht="168.75" x14ac:dyDescent="0.3">
      <c r="A950" s="1848"/>
      <c r="B950" s="507" t="s">
        <v>1917</v>
      </c>
      <c r="C950" s="1439">
        <f>SUM(D950:E950)</f>
        <v>3000</v>
      </c>
      <c r="D950" s="1439">
        <v>3000</v>
      </c>
      <c r="E950" s="1440"/>
      <c r="F950" s="829">
        <f t="shared" si="53"/>
        <v>0</v>
      </c>
      <c r="G950" s="829">
        <f t="shared" si="52"/>
        <v>6000</v>
      </c>
    </row>
    <row r="951" spans="1:7" ht="112.5" x14ac:dyDescent="0.3">
      <c r="A951" s="1848"/>
      <c r="B951" s="506" t="s">
        <v>2001</v>
      </c>
      <c r="C951" s="882">
        <v>65000</v>
      </c>
      <c r="D951" s="882">
        <v>65000</v>
      </c>
      <c r="E951" s="883"/>
      <c r="F951" s="829"/>
      <c r="G951" s="829">
        <f t="shared" si="52"/>
        <v>130000</v>
      </c>
    </row>
    <row r="952" spans="1:7" ht="93.75" x14ac:dyDescent="0.3">
      <c r="A952" s="1848"/>
      <c r="B952" s="506" t="s">
        <v>2002</v>
      </c>
      <c r="C952" s="882">
        <v>15000</v>
      </c>
      <c r="D952" s="882">
        <v>15000</v>
      </c>
      <c r="E952" s="882"/>
      <c r="F952" s="829"/>
      <c r="G952" s="829">
        <f t="shared" si="52"/>
        <v>30000</v>
      </c>
    </row>
    <row r="953" spans="1:7" ht="56.25" x14ac:dyDescent="0.3">
      <c r="A953" s="1848"/>
      <c r="B953" s="1628" t="s">
        <v>2186</v>
      </c>
      <c r="C953" s="1640">
        <v>33284</v>
      </c>
      <c r="D953" s="1625">
        <v>33284</v>
      </c>
      <c r="E953" s="1625"/>
      <c r="F953" s="829"/>
      <c r="G953" s="829">
        <f t="shared" si="52"/>
        <v>66568</v>
      </c>
    </row>
    <row r="954" spans="1:7" ht="56.25" x14ac:dyDescent="0.3">
      <c r="A954" s="1848"/>
      <c r="B954" s="1623" t="s">
        <v>2298</v>
      </c>
      <c r="C954" s="1625">
        <v>49800</v>
      </c>
      <c r="D954" s="1625"/>
      <c r="E954" s="1625">
        <v>49800</v>
      </c>
      <c r="F954" s="829"/>
      <c r="G954" s="829">
        <f t="shared" si="52"/>
        <v>99600</v>
      </c>
    </row>
    <row r="955" spans="1:7" hidden="1" x14ac:dyDescent="0.3">
      <c r="A955" s="1848"/>
      <c r="B955" s="1053"/>
      <c r="C955" s="1458"/>
      <c r="D955" s="1437"/>
      <c r="E955" s="820"/>
      <c r="F955" s="829"/>
      <c r="G955" s="829">
        <f t="shared" si="52"/>
        <v>0</v>
      </c>
    </row>
    <row r="956" spans="1:7" hidden="1" x14ac:dyDescent="0.3">
      <c r="A956" s="1848"/>
      <c r="B956" s="1053"/>
      <c r="C956" s="1458"/>
      <c r="D956" s="1437"/>
      <c r="E956" s="820"/>
      <c r="F956" s="829"/>
      <c r="G956" s="829">
        <f t="shared" si="52"/>
        <v>0</v>
      </c>
    </row>
    <row r="957" spans="1:7" hidden="1" x14ac:dyDescent="0.3">
      <c r="A957" s="1848"/>
      <c r="B957" s="1053"/>
      <c r="C957" s="1458"/>
      <c r="D957" s="1437"/>
      <c r="E957" s="820"/>
      <c r="F957" s="829"/>
      <c r="G957" s="829">
        <f t="shared" si="52"/>
        <v>0</v>
      </c>
    </row>
    <row r="958" spans="1:7" hidden="1" x14ac:dyDescent="0.3">
      <c r="A958" s="1848"/>
      <c r="B958" s="1053"/>
      <c r="C958" s="1458"/>
      <c r="D958" s="1437"/>
      <c r="E958" s="820"/>
      <c r="F958" s="829"/>
      <c r="G958" s="829">
        <f t="shared" si="52"/>
        <v>0</v>
      </c>
    </row>
    <row r="959" spans="1:7" hidden="1" x14ac:dyDescent="0.3">
      <c r="A959" s="1848"/>
      <c r="B959" s="1053"/>
      <c r="C959" s="1458"/>
      <c r="D959" s="1437"/>
      <c r="E959" s="820"/>
      <c r="F959" s="829"/>
      <c r="G959" s="829">
        <f t="shared" si="52"/>
        <v>0</v>
      </c>
    </row>
    <row r="960" spans="1:7" hidden="1" x14ac:dyDescent="0.3">
      <c r="A960" s="1848"/>
      <c r="B960" s="1053"/>
      <c r="C960" s="1458"/>
      <c r="D960" s="1437"/>
      <c r="E960" s="820"/>
      <c r="F960" s="829"/>
      <c r="G960" s="829">
        <f t="shared" si="52"/>
        <v>0</v>
      </c>
    </row>
    <row r="961" spans="1:7" hidden="1" x14ac:dyDescent="0.3">
      <c r="A961" s="1848"/>
      <c r="B961" s="1053"/>
      <c r="C961" s="1458"/>
      <c r="D961" s="1437"/>
      <c r="E961" s="820"/>
      <c r="F961" s="829"/>
      <c r="G961" s="829">
        <f t="shared" si="52"/>
        <v>0</v>
      </c>
    </row>
    <row r="962" spans="1:7" hidden="1" x14ac:dyDescent="0.3">
      <c r="A962" s="1848"/>
      <c r="B962" s="1053"/>
      <c r="C962" s="1458"/>
      <c r="D962" s="1437"/>
      <c r="E962" s="820"/>
      <c r="F962" s="829"/>
      <c r="G962" s="829">
        <f t="shared" si="52"/>
        <v>0</v>
      </c>
    </row>
    <row r="963" spans="1:7" hidden="1" x14ac:dyDescent="0.3">
      <c r="A963" s="1848"/>
      <c r="B963" s="1053"/>
      <c r="C963" s="1458"/>
      <c r="D963" s="1437"/>
      <c r="E963" s="820"/>
      <c r="F963" s="829"/>
      <c r="G963" s="829">
        <f t="shared" si="52"/>
        <v>0</v>
      </c>
    </row>
    <row r="964" spans="1:7" hidden="1" x14ac:dyDescent="0.3">
      <c r="A964" s="1848"/>
      <c r="B964" s="1053"/>
      <c r="C964" s="1458"/>
      <c r="D964" s="1437"/>
      <c r="E964" s="820"/>
      <c r="F964" s="829"/>
      <c r="G964" s="829">
        <f t="shared" si="52"/>
        <v>0</v>
      </c>
    </row>
    <row r="965" spans="1:7" hidden="1" x14ac:dyDescent="0.3">
      <c r="A965" s="1848"/>
      <c r="B965" s="1053"/>
      <c r="C965" s="1458"/>
      <c r="D965" s="1437"/>
      <c r="E965" s="820"/>
      <c r="F965" s="829"/>
      <c r="G965" s="829">
        <f t="shared" si="52"/>
        <v>0</v>
      </c>
    </row>
    <row r="966" spans="1:7" hidden="1" x14ac:dyDescent="0.3">
      <c r="A966" s="1848"/>
      <c r="B966" s="1053"/>
      <c r="C966" s="1458"/>
      <c r="D966" s="1437"/>
      <c r="E966" s="820"/>
      <c r="F966" s="829"/>
      <c r="G966" s="829">
        <f t="shared" si="52"/>
        <v>0</v>
      </c>
    </row>
    <row r="967" spans="1:7" hidden="1" x14ac:dyDescent="0.3">
      <c r="A967" s="1848"/>
      <c r="B967" s="862"/>
      <c r="C967" s="1438">
        <f>SUM(D967:E967)</f>
        <v>0</v>
      </c>
      <c r="D967" s="1439"/>
      <c r="E967" s="1440"/>
      <c r="F967" s="829">
        <f t="shared" ref="F967:F1058" si="54">E967+D967-C967</f>
        <v>0</v>
      </c>
      <c r="G967" s="829">
        <f t="shared" si="52"/>
        <v>0</v>
      </c>
    </row>
    <row r="968" spans="1:7" hidden="1" x14ac:dyDescent="0.3">
      <c r="A968" s="1848"/>
      <c r="B968" s="862"/>
      <c r="C968" s="1438">
        <f>SUM(D968:E968)</f>
        <v>0</v>
      </c>
      <c r="D968" s="1439"/>
      <c r="E968" s="1440"/>
      <c r="F968" s="829">
        <f t="shared" si="54"/>
        <v>0</v>
      </c>
      <c r="G968" s="829">
        <f t="shared" si="52"/>
        <v>0</v>
      </c>
    </row>
    <row r="969" spans="1:7" hidden="1" x14ac:dyDescent="0.3">
      <c r="A969" s="1848"/>
      <c r="B969" s="862"/>
      <c r="C969" s="1438">
        <f>SUM(D969:E969)</f>
        <v>0</v>
      </c>
      <c r="D969" s="1439"/>
      <c r="E969" s="1440"/>
      <c r="F969" s="829">
        <f t="shared" si="54"/>
        <v>0</v>
      </c>
      <c r="G969" s="829">
        <f t="shared" ref="G969:G1032" si="55">SUM(C969:E969)</f>
        <v>0</v>
      </c>
    </row>
    <row r="970" spans="1:7" hidden="1" x14ac:dyDescent="0.3">
      <c r="A970" s="1848"/>
      <c r="B970" s="862"/>
      <c r="C970" s="1438">
        <f>SUM(D970:E970)</f>
        <v>0</v>
      </c>
      <c r="D970" s="1439"/>
      <c r="E970" s="1440"/>
      <c r="F970" s="829">
        <f t="shared" si="54"/>
        <v>0</v>
      </c>
      <c r="G970" s="829">
        <f t="shared" si="55"/>
        <v>0</v>
      </c>
    </row>
    <row r="971" spans="1:7" hidden="1" x14ac:dyDescent="0.3">
      <c r="A971" s="1848"/>
      <c r="B971" s="862"/>
      <c r="C971" s="1438">
        <f>SUM(D971:E971)</f>
        <v>0</v>
      </c>
      <c r="D971" s="1439"/>
      <c r="E971" s="1440"/>
      <c r="F971" s="829">
        <f t="shared" si="54"/>
        <v>0</v>
      </c>
      <c r="G971" s="829">
        <f t="shared" si="55"/>
        <v>0</v>
      </c>
    </row>
    <row r="972" spans="1:7" x14ac:dyDescent="0.3">
      <c r="A972" s="1848"/>
      <c r="B972" s="862" t="s">
        <v>740</v>
      </c>
      <c r="C972" s="1438">
        <f>SUM(C942:C971)</f>
        <v>1516684</v>
      </c>
      <c r="D972" s="1438">
        <f>SUM(D942:D971)</f>
        <v>158184</v>
      </c>
      <c r="E972" s="1438">
        <f>SUM(E942:E971)</f>
        <v>1358500</v>
      </c>
      <c r="F972" s="829">
        <f t="shared" si="54"/>
        <v>0</v>
      </c>
      <c r="G972" s="829">
        <f t="shared" si="55"/>
        <v>3033368</v>
      </c>
    </row>
    <row r="973" spans="1:7" ht="75" x14ac:dyDescent="0.3">
      <c r="A973" s="1848" t="s">
        <v>1119</v>
      </c>
      <c r="B973" s="507" t="s">
        <v>617</v>
      </c>
      <c r="C973" s="1460">
        <v>12000</v>
      </c>
      <c r="D973" s="1460">
        <v>12000</v>
      </c>
      <c r="E973" s="1469"/>
      <c r="F973" s="829">
        <f t="shared" si="54"/>
        <v>0</v>
      </c>
      <c r="G973" s="829">
        <f t="shared" si="55"/>
        <v>24000</v>
      </c>
    </row>
    <row r="974" spans="1:7" ht="112.5" x14ac:dyDescent="0.3">
      <c r="A974" s="1848"/>
      <c r="B974" s="862" t="s">
        <v>1559</v>
      </c>
      <c r="C974" s="565">
        <v>75000</v>
      </c>
      <c r="D974" s="1457">
        <v>75000</v>
      </c>
      <c r="E974" s="586"/>
      <c r="F974" s="829">
        <f t="shared" si="54"/>
        <v>0</v>
      </c>
      <c r="G974" s="829">
        <f t="shared" si="55"/>
        <v>150000</v>
      </c>
    </row>
    <row r="975" spans="1:7" s="435" customFormat="1" ht="93.75" x14ac:dyDescent="0.3">
      <c r="A975" s="1848"/>
      <c r="B975" s="862" t="s">
        <v>1520</v>
      </c>
      <c r="C975" s="565">
        <v>36200</v>
      </c>
      <c r="D975" s="565">
        <v>36200</v>
      </c>
      <c r="E975" s="586"/>
      <c r="F975" s="829">
        <f t="shared" si="54"/>
        <v>0</v>
      </c>
      <c r="G975" s="829">
        <f t="shared" si="55"/>
        <v>72400</v>
      </c>
    </row>
    <row r="976" spans="1:7" s="435" customFormat="1" hidden="1" x14ac:dyDescent="0.3">
      <c r="A976" s="1848"/>
      <c r="B976" s="862"/>
      <c r="C976" s="1438">
        <f t="shared" ref="C976:C981" si="56">SUM(D976:E976)</f>
        <v>0</v>
      </c>
      <c r="D976" s="1439"/>
      <c r="E976" s="1440"/>
      <c r="F976" s="829">
        <f t="shared" si="54"/>
        <v>0</v>
      </c>
      <c r="G976" s="829">
        <f t="shared" si="55"/>
        <v>0</v>
      </c>
    </row>
    <row r="977" spans="1:7" s="435" customFormat="1" hidden="1" x14ac:dyDescent="0.3">
      <c r="A977" s="1848"/>
      <c r="B977" s="862"/>
      <c r="C977" s="1438">
        <f t="shared" si="56"/>
        <v>0</v>
      </c>
      <c r="D977" s="1439"/>
      <c r="E977" s="1440"/>
      <c r="F977" s="829">
        <f t="shared" si="54"/>
        <v>0</v>
      </c>
      <c r="G977" s="829">
        <f t="shared" si="55"/>
        <v>0</v>
      </c>
    </row>
    <row r="978" spans="1:7" s="435" customFormat="1" hidden="1" x14ac:dyDescent="0.3">
      <c r="A978" s="1848"/>
      <c r="B978" s="862"/>
      <c r="C978" s="1438">
        <f t="shared" si="56"/>
        <v>0</v>
      </c>
      <c r="D978" s="1439"/>
      <c r="E978" s="1440"/>
      <c r="F978" s="829">
        <f t="shared" si="54"/>
        <v>0</v>
      </c>
      <c r="G978" s="829">
        <f t="shared" si="55"/>
        <v>0</v>
      </c>
    </row>
    <row r="979" spans="1:7" s="435" customFormat="1" hidden="1" x14ac:dyDescent="0.3">
      <c r="A979" s="1848"/>
      <c r="B979" s="862"/>
      <c r="C979" s="1438">
        <f t="shared" si="56"/>
        <v>0</v>
      </c>
      <c r="D979" s="1439"/>
      <c r="E979" s="1440"/>
      <c r="F979" s="829">
        <f t="shared" si="54"/>
        <v>0</v>
      </c>
      <c r="G979" s="829">
        <f t="shared" si="55"/>
        <v>0</v>
      </c>
    </row>
    <row r="980" spans="1:7" s="435" customFormat="1" hidden="1" x14ac:dyDescent="0.3">
      <c r="A980" s="1848"/>
      <c r="B980" s="862"/>
      <c r="C980" s="1438">
        <f t="shared" si="56"/>
        <v>0</v>
      </c>
      <c r="D980" s="1439"/>
      <c r="E980" s="1440"/>
      <c r="F980" s="829">
        <f t="shared" si="54"/>
        <v>0</v>
      </c>
      <c r="G980" s="829">
        <f t="shared" si="55"/>
        <v>0</v>
      </c>
    </row>
    <row r="981" spans="1:7" s="435" customFormat="1" hidden="1" x14ac:dyDescent="0.3">
      <c r="A981" s="1848"/>
      <c r="B981" s="862"/>
      <c r="C981" s="1438">
        <f t="shared" si="56"/>
        <v>0</v>
      </c>
      <c r="D981" s="1439"/>
      <c r="E981" s="1440"/>
      <c r="F981" s="829">
        <f t="shared" si="54"/>
        <v>0</v>
      </c>
      <c r="G981" s="829">
        <f t="shared" si="55"/>
        <v>0</v>
      </c>
    </row>
    <row r="982" spans="1:7" s="435" customFormat="1" x14ac:dyDescent="0.3">
      <c r="A982" s="1848"/>
      <c r="B982" s="862" t="s">
        <v>740</v>
      </c>
      <c r="C982" s="1438">
        <f>SUM(C973:C981)</f>
        <v>123200</v>
      </c>
      <c r="D982" s="1438">
        <f>SUM(D973:D981)</f>
        <v>123200</v>
      </c>
      <c r="E982" s="1438">
        <f>SUM(E973:E981)</f>
        <v>0</v>
      </c>
      <c r="F982" s="829">
        <f t="shared" si="54"/>
        <v>0</v>
      </c>
      <c r="G982" s="829">
        <f t="shared" si="55"/>
        <v>246400</v>
      </c>
    </row>
    <row r="983" spans="1:7" s="435" customFormat="1" ht="75" hidden="1" x14ac:dyDescent="0.3">
      <c r="A983" s="1848" t="s">
        <v>1121</v>
      </c>
      <c r="B983" s="507" t="s">
        <v>617</v>
      </c>
      <c r="C983" s="1460">
        <f>600-600</f>
        <v>0</v>
      </c>
      <c r="D983" s="1460">
        <f>600-600</f>
        <v>0</v>
      </c>
      <c r="E983" s="1469"/>
      <c r="F983" s="829">
        <f t="shared" si="54"/>
        <v>0</v>
      </c>
      <c r="G983" s="829">
        <f t="shared" si="55"/>
        <v>0</v>
      </c>
    </row>
    <row r="984" spans="1:7" s="435" customFormat="1" ht="112.5" hidden="1" x14ac:dyDescent="0.3">
      <c r="A984" s="1848"/>
      <c r="B984" s="506" t="s">
        <v>618</v>
      </c>
      <c r="C984" s="1460"/>
      <c r="D984" s="1460"/>
      <c r="E984" s="1469"/>
      <c r="F984" s="829">
        <f t="shared" si="54"/>
        <v>0</v>
      </c>
      <c r="G984" s="829">
        <f t="shared" si="55"/>
        <v>0</v>
      </c>
    </row>
    <row r="985" spans="1:7" s="435" customFormat="1" ht="75" x14ac:dyDescent="0.3">
      <c r="A985" s="1848"/>
      <c r="B985" s="1628" t="s">
        <v>2187</v>
      </c>
      <c r="C985" s="1625">
        <v>50000</v>
      </c>
      <c r="D985" s="1625">
        <v>50000</v>
      </c>
      <c r="E985" s="1625"/>
      <c r="F985" s="829">
        <f t="shared" si="54"/>
        <v>0</v>
      </c>
      <c r="G985" s="829">
        <f t="shared" si="55"/>
        <v>100000</v>
      </c>
    </row>
    <row r="986" spans="1:7" s="435" customFormat="1" hidden="1" x14ac:dyDescent="0.3">
      <c r="A986" s="1848"/>
      <c r="B986" s="862"/>
      <c r="C986" s="1438">
        <f t="shared" ref="C986:C992" si="57">SUM(D986:E986)</f>
        <v>0</v>
      </c>
      <c r="D986" s="1439"/>
      <c r="E986" s="1440"/>
      <c r="F986" s="829">
        <f t="shared" si="54"/>
        <v>0</v>
      </c>
      <c r="G986" s="829">
        <f t="shared" si="55"/>
        <v>0</v>
      </c>
    </row>
    <row r="987" spans="1:7" s="435" customFormat="1" hidden="1" x14ac:dyDescent="0.3">
      <c r="A987" s="1848"/>
      <c r="B987" s="862"/>
      <c r="C987" s="1438">
        <f t="shared" si="57"/>
        <v>0</v>
      </c>
      <c r="D987" s="1439"/>
      <c r="E987" s="1440"/>
      <c r="F987" s="829">
        <f t="shared" si="54"/>
        <v>0</v>
      </c>
      <c r="G987" s="829">
        <f t="shared" si="55"/>
        <v>0</v>
      </c>
    </row>
    <row r="988" spans="1:7" s="435" customFormat="1" hidden="1" x14ac:dyDescent="0.3">
      <c r="A988" s="1848"/>
      <c r="B988" s="862"/>
      <c r="C988" s="1438">
        <f t="shared" si="57"/>
        <v>0</v>
      </c>
      <c r="D988" s="1439"/>
      <c r="E988" s="1440"/>
      <c r="F988" s="829">
        <f t="shared" si="54"/>
        <v>0</v>
      </c>
      <c r="G988" s="829">
        <f t="shared" si="55"/>
        <v>0</v>
      </c>
    </row>
    <row r="989" spans="1:7" s="435" customFormat="1" hidden="1" x14ac:dyDescent="0.3">
      <c r="A989" s="1848"/>
      <c r="B989" s="862"/>
      <c r="C989" s="1438">
        <f t="shared" si="57"/>
        <v>0</v>
      </c>
      <c r="D989" s="1439"/>
      <c r="E989" s="1440"/>
      <c r="F989" s="829">
        <f t="shared" si="54"/>
        <v>0</v>
      </c>
      <c r="G989" s="829">
        <f t="shared" si="55"/>
        <v>0</v>
      </c>
    </row>
    <row r="990" spans="1:7" s="435" customFormat="1" hidden="1" x14ac:dyDescent="0.3">
      <c r="A990" s="1848"/>
      <c r="B990" s="862"/>
      <c r="C990" s="1438">
        <f t="shared" si="57"/>
        <v>0</v>
      </c>
      <c r="D990" s="1439"/>
      <c r="E990" s="1440"/>
      <c r="F990" s="829">
        <f t="shared" si="54"/>
        <v>0</v>
      </c>
      <c r="G990" s="829">
        <f t="shared" si="55"/>
        <v>0</v>
      </c>
    </row>
    <row r="991" spans="1:7" s="435" customFormat="1" hidden="1" x14ac:dyDescent="0.3">
      <c r="A991" s="1848"/>
      <c r="B991" s="862"/>
      <c r="C991" s="1438">
        <f t="shared" si="57"/>
        <v>0</v>
      </c>
      <c r="D991" s="1439"/>
      <c r="E991" s="1440"/>
      <c r="F991" s="829">
        <f t="shared" si="54"/>
        <v>0</v>
      </c>
      <c r="G991" s="829">
        <f t="shared" si="55"/>
        <v>0</v>
      </c>
    </row>
    <row r="992" spans="1:7" s="435" customFormat="1" hidden="1" x14ac:dyDescent="0.3">
      <c r="A992" s="1848"/>
      <c r="B992" s="862"/>
      <c r="C992" s="1438">
        <f t="shared" si="57"/>
        <v>0</v>
      </c>
      <c r="D992" s="1439"/>
      <c r="E992" s="1440"/>
      <c r="F992" s="829">
        <f t="shared" si="54"/>
        <v>0</v>
      </c>
      <c r="G992" s="829">
        <f t="shared" si="55"/>
        <v>0</v>
      </c>
    </row>
    <row r="993" spans="1:7" s="435" customFormat="1" x14ac:dyDescent="0.3">
      <c r="A993" s="1848"/>
      <c r="B993" s="862" t="s">
        <v>740</v>
      </c>
      <c r="C993" s="1438">
        <f>SUM(C983:C992)</f>
        <v>50000</v>
      </c>
      <c r="D993" s="1438">
        <f>SUM(D983:D992)</f>
        <v>50000</v>
      </c>
      <c r="E993" s="1438">
        <f>SUM(E983:E992)</f>
        <v>0</v>
      </c>
      <c r="F993" s="829">
        <f t="shared" si="54"/>
        <v>0</v>
      </c>
      <c r="G993" s="829">
        <f t="shared" si="55"/>
        <v>100000</v>
      </c>
    </row>
    <row r="994" spans="1:7" s="435" customFormat="1" ht="75" x14ac:dyDescent="0.3">
      <c r="A994" s="1848" t="s">
        <v>1123</v>
      </c>
      <c r="B994" s="507" t="s">
        <v>617</v>
      </c>
      <c r="C994" s="1460">
        <v>1100</v>
      </c>
      <c r="D994" s="1460">
        <v>1100</v>
      </c>
      <c r="E994" s="1469"/>
      <c r="F994" s="829">
        <f t="shared" si="54"/>
        <v>0</v>
      </c>
      <c r="G994" s="829">
        <f t="shared" si="55"/>
        <v>2200</v>
      </c>
    </row>
    <row r="995" spans="1:7" s="435" customFormat="1" hidden="1" x14ac:dyDescent="0.3">
      <c r="A995" s="1848"/>
      <c r="B995" s="862"/>
      <c r="C995" s="1438">
        <f t="shared" ref="C995:C1003" si="58">SUM(D995:E995)</f>
        <v>0</v>
      </c>
      <c r="D995" s="1439"/>
      <c r="E995" s="1440"/>
      <c r="F995" s="829">
        <f t="shared" si="54"/>
        <v>0</v>
      </c>
      <c r="G995" s="829">
        <f t="shared" si="55"/>
        <v>0</v>
      </c>
    </row>
    <row r="996" spans="1:7" s="435" customFormat="1" hidden="1" x14ac:dyDescent="0.3">
      <c r="A996" s="1848"/>
      <c r="B996" s="862"/>
      <c r="C996" s="1438">
        <f t="shared" si="58"/>
        <v>0</v>
      </c>
      <c r="D996" s="1439"/>
      <c r="E996" s="1440"/>
      <c r="F996" s="829">
        <f t="shared" si="54"/>
        <v>0</v>
      </c>
      <c r="G996" s="829">
        <f t="shared" si="55"/>
        <v>0</v>
      </c>
    </row>
    <row r="997" spans="1:7" s="435" customFormat="1" hidden="1" x14ac:dyDescent="0.3">
      <c r="A997" s="1848"/>
      <c r="B997" s="862"/>
      <c r="C997" s="1438">
        <f t="shared" si="58"/>
        <v>0</v>
      </c>
      <c r="D997" s="1439"/>
      <c r="E997" s="1440"/>
      <c r="F997" s="829">
        <f t="shared" si="54"/>
        <v>0</v>
      </c>
      <c r="G997" s="829">
        <f t="shared" si="55"/>
        <v>0</v>
      </c>
    </row>
    <row r="998" spans="1:7" s="435" customFormat="1" hidden="1" x14ac:dyDescent="0.3">
      <c r="A998" s="1848"/>
      <c r="B998" s="862"/>
      <c r="C998" s="1438">
        <f t="shared" si="58"/>
        <v>0</v>
      </c>
      <c r="D998" s="1439"/>
      <c r="E998" s="1440"/>
      <c r="F998" s="829">
        <f t="shared" si="54"/>
        <v>0</v>
      </c>
      <c r="G998" s="829">
        <f t="shared" si="55"/>
        <v>0</v>
      </c>
    </row>
    <row r="999" spans="1:7" s="435" customFormat="1" hidden="1" x14ac:dyDescent="0.3">
      <c r="A999" s="1848"/>
      <c r="B999" s="862"/>
      <c r="C999" s="1438">
        <f t="shared" si="58"/>
        <v>0</v>
      </c>
      <c r="D999" s="1439"/>
      <c r="E999" s="1440"/>
      <c r="F999" s="829">
        <f t="shared" si="54"/>
        <v>0</v>
      </c>
      <c r="G999" s="829">
        <f t="shared" si="55"/>
        <v>0</v>
      </c>
    </row>
    <row r="1000" spans="1:7" s="435" customFormat="1" hidden="1" x14ac:dyDescent="0.3">
      <c r="A1000" s="1848"/>
      <c r="B1000" s="862"/>
      <c r="C1000" s="1438">
        <f t="shared" si="58"/>
        <v>0</v>
      </c>
      <c r="D1000" s="1439"/>
      <c r="E1000" s="1440"/>
      <c r="F1000" s="829">
        <f t="shared" si="54"/>
        <v>0</v>
      </c>
      <c r="G1000" s="829">
        <f t="shared" si="55"/>
        <v>0</v>
      </c>
    </row>
    <row r="1001" spans="1:7" s="435" customFormat="1" hidden="1" x14ac:dyDescent="0.3">
      <c r="A1001" s="1848"/>
      <c r="B1001" s="862"/>
      <c r="C1001" s="1438">
        <f t="shared" si="58"/>
        <v>0</v>
      </c>
      <c r="D1001" s="1439"/>
      <c r="E1001" s="1440"/>
      <c r="F1001" s="829">
        <f t="shared" si="54"/>
        <v>0</v>
      </c>
      <c r="G1001" s="829">
        <f t="shared" si="55"/>
        <v>0</v>
      </c>
    </row>
    <row r="1002" spans="1:7" s="435" customFormat="1" hidden="1" x14ac:dyDescent="0.3">
      <c r="A1002" s="1848"/>
      <c r="B1002" s="862"/>
      <c r="C1002" s="1438">
        <f t="shared" si="58"/>
        <v>0</v>
      </c>
      <c r="D1002" s="1439"/>
      <c r="E1002" s="1440"/>
      <c r="F1002" s="829">
        <f t="shared" si="54"/>
        <v>0</v>
      </c>
      <c r="G1002" s="829">
        <f t="shared" si="55"/>
        <v>0</v>
      </c>
    </row>
    <row r="1003" spans="1:7" s="435" customFormat="1" hidden="1" x14ac:dyDescent="0.3">
      <c r="A1003" s="1848"/>
      <c r="B1003" s="862"/>
      <c r="C1003" s="1438">
        <f t="shared" si="58"/>
        <v>0</v>
      </c>
      <c r="D1003" s="1439"/>
      <c r="E1003" s="1440"/>
      <c r="F1003" s="829">
        <f t="shared" si="54"/>
        <v>0</v>
      </c>
      <c r="G1003" s="829">
        <f t="shared" si="55"/>
        <v>0</v>
      </c>
    </row>
    <row r="1004" spans="1:7" s="435" customFormat="1" ht="18" customHeight="1" x14ac:dyDescent="0.3">
      <c r="A1004" s="1848"/>
      <c r="B1004" s="862" t="s">
        <v>740</v>
      </c>
      <c r="C1004" s="1438">
        <f>SUM(C994:C1003)</f>
        <v>1100</v>
      </c>
      <c r="D1004" s="1438">
        <f>SUM(D994:D1003)</f>
        <v>1100</v>
      </c>
      <c r="E1004" s="1438">
        <f>SUM(E994:E1003)</f>
        <v>0</v>
      </c>
      <c r="F1004" s="829">
        <f t="shared" si="54"/>
        <v>0</v>
      </c>
      <c r="G1004" s="829">
        <f t="shared" si="55"/>
        <v>2200</v>
      </c>
    </row>
    <row r="1005" spans="1:7" s="435" customFormat="1" ht="75" x14ac:dyDescent="0.3">
      <c r="A1005" s="1848" t="s">
        <v>1125</v>
      </c>
      <c r="B1005" s="507" t="s">
        <v>617</v>
      </c>
      <c r="C1005" s="1460">
        <v>13900</v>
      </c>
      <c r="D1005" s="1460">
        <v>13900</v>
      </c>
      <c r="E1005" s="1469"/>
      <c r="F1005" s="829">
        <f t="shared" si="54"/>
        <v>0</v>
      </c>
      <c r="G1005" s="829">
        <f t="shared" si="55"/>
        <v>27800</v>
      </c>
    </row>
    <row r="1006" spans="1:7" s="435" customFormat="1" ht="75" x14ac:dyDescent="0.3">
      <c r="A1006" s="1848"/>
      <c r="B1006" s="506" t="s">
        <v>2299</v>
      </c>
      <c r="C1006" s="1631">
        <v>49990</v>
      </c>
      <c r="D1006" s="1631">
        <v>49990</v>
      </c>
      <c r="E1006" s="1631"/>
      <c r="F1006" s="829">
        <f t="shared" si="54"/>
        <v>0</v>
      </c>
      <c r="G1006" s="829">
        <f t="shared" si="55"/>
        <v>99980</v>
      </c>
    </row>
    <row r="1007" spans="1:7" s="435" customFormat="1" ht="131.25" x14ac:dyDescent="0.3">
      <c r="A1007" s="1848"/>
      <c r="B1007" s="1628" t="s">
        <v>2188</v>
      </c>
      <c r="C1007" s="1625">
        <v>30000</v>
      </c>
      <c r="D1007" s="1625">
        <v>30000</v>
      </c>
      <c r="E1007" s="1625"/>
      <c r="F1007" s="829">
        <f t="shared" si="54"/>
        <v>0</v>
      </c>
      <c r="G1007" s="829">
        <f t="shared" si="55"/>
        <v>60000</v>
      </c>
    </row>
    <row r="1008" spans="1:7" hidden="1" x14ac:dyDescent="0.3">
      <c r="A1008" s="1848"/>
      <c r="B1008" s="862"/>
      <c r="C1008" s="1438">
        <f t="shared" ref="C1008:C1014" si="59">SUM(D1008:E1008)</f>
        <v>0</v>
      </c>
      <c r="D1008" s="1439"/>
      <c r="E1008" s="1440"/>
      <c r="F1008" s="829">
        <f t="shared" si="54"/>
        <v>0</v>
      </c>
      <c r="G1008" s="829">
        <f t="shared" si="55"/>
        <v>0</v>
      </c>
    </row>
    <row r="1009" spans="1:7" hidden="1" x14ac:dyDescent="0.3">
      <c r="A1009" s="1848"/>
      <c r="B1009" s="862"/>
      <c r="C1009" s="1438">
        <f t="shared" si="59"/>
        <v>0</v>
      </c>
      <c r="D1009" s="1439"/>
      <c r="E1009" s="1440"/>
      <c r="F1009" s="829">
        <f t="shared" si="54"/>
        <v>0</v>
      </c>
      <c r="G1009" s="829">
        <f t="shared" si="55"/>
        <v>0</v>
      </c>
    </row>
    <row r="1010" spans="1:7" hidden="1" x14ac:dyDescent="0.3">
      <c r="A1010" s="1848"/>
      <c r="B1010" s="862"/>
      <c r="C1010" s="1438">
        <f t="shared" si="59"/>
        <v>0</v>
      </c>
      <c r="D1010" s="1439"/>
      <c r="E1010" s="1440"/>
      <c r="F1010" s="829">
        <f t="shared" si="54"/>
        <v>0</v>
      </c>
      <c r="G1010" s="829">
        <f t="shared" si="55"/>
        <v>0</v>
      </c>
    </row>
    <row r="1011" spans="1:7" hidden="1" x14ac:dyDescent="0.3">
      <c r="A1011" s="1848"/>
      <c r="B1011" s="862"/>
      <c r="C1011" s="1438">
        <f t="shared" si="59"/>
        <v>0</v>
      </c>
      <c r="D1011" s="1439"/>
      <c r="E1011" s="1440"/>
      <c r="F1011" s="829">
        <f t="shared" si="54"/>
        <v>0</v>
      </c>
      <c r="G1011" s="829">
        <f t="shared" si="55"/>
        <v>0</v>
      </c>
    </row>
    <row r="1012" spans="1:7" hidden="1" x14ac:dyDescent="0.3">
      <c r="A1012" s="1848"/>
      <c r="B1012" s="862"/>
      <c r="C1012" s="1438">
        <f t="shared" si="59"/>
        <v>0</v>
      </c>
      <c r="D1012" s="1439"/>
      <c r="E1012" s="1440"/>
      <c r="F1012" s="829">
        <f t="shared" si="54"/>
        <v>0</v>
      </c>
      <c r="G1012" s="829">
        <f t="shared" si="55"/>
        <v>0</v>
      </c>
    </row>
    <row r="1013" spans="1:7" hidden="1" x14ac:dyDescent="0.3">
      <c r="A1013" s="1848"/>
      <c r="B1013" s="862"/>
      <c r="C1013" s="1438">
        <f t="shared" si="59"/>
        <v>0</v>
      </c>
      <c r="D1013" s="1439"/>
      <c r="E1013" s="1440"/>
      <c r="F1013" s="829">
        <f t="shared" si="54"/>
        <v>0</v>
      </c>
      <c r="G1013" s="829">
        <f t="shared" si="55"/>
        <v>0</v>
      </c>
    </row>
    <row r="1014" spans="1:7" hidden="1" x14ac:dyDescent="0.3">
      <c r="A1014" s="1848"/>
      <c r="B1014" s="862"/>
      <c r="C1014" s="1438">
        <f t="shared" si="59"/>
        <v>0</v>
      </c>
      <c r="D1014" s="1439"/>
      <c r="E1014" s="1440"/>
      <c r="F1014" s="829">
        <f t="shared" si="54"/>
        <v>0</v>
      </c>
      <c r="G1014" s="829">
        <f t="shared" si="55"/>
        <v>0</v>
      </c>
    </row>
    <row r="1015" spans="1:7" x14ac:dyDescent="0.3">
      <c r="A1015" s="1848"/>
      <c r="B1015" s="862" t="s">
        <v>740</v>
      </c>
      <c r="C1015" s="1438">
        <f>SUM(C1005:C1014)</f>
        <v>93890</v>
      </c>
      <c r="D1015" s="1438">
        <f>SUM(D1005:D1014)</f>
        <v>93890</v>
      </c>
      <c r="E1015" s="1438">
        <f>SUM(E1005:E1014)</f>
        <v>0</v>
      </c>
      <c r="F1015" s="829">
        <f t="shared" si="54"/>
        <v>0</v>
      </c>
      <c r="G1015" s="829">
        <f t="shared" si="55"/>
        <v>187780</v>
      </c>
    </row>
    <row r="1016" spans="1:7" s="435" customFormat="1" ht="75" x14ac:dyDescent="0.3">
      <c r="A1016" s="1848" t="s">
        <v>1127</v>
      </c>
      <c r="B1016" s="507" t="s">
        <v>617</v>
      </c>
      <c r="C1016" s="1460">
        <v>49600</v>
      </c>
      <c r="D1016" s="1460">
        <v>49600</v>
      </c>
      <c r="E1016" s="1469"/>
      <c r="F1016" s="829">
        <f t="shared" si="54"/>
        <v>0</v>
      </c>
      <c r="G1016" s="829">
        <f t="shared" si="55"/>
        <v>99200</v>
      </c>
    </row>
    <row r="1017" spans="1:7" s="435" customFormat="1" ht="112.5" x14ac:dyDescent="0.3">
      <c r="A1017" s="1848"/>
      <c r="B1017" s="1118" t="s">
        <v>1227</v>
      </c>
      <c r="C1017" s="1439">
        <v>100000</v>
      </c>
      <c r="D1017" s="1439"/>
      <c r="E1017" s="1439">
        <v>100000</v>
      </c>
      <c r="F1017" s="829">
        <f t="shared" si="54"/>
        <v>0</v>
      </c>
      <c r="G1017" s="829">
        <f t="shared" si="55"/>
        <v>200000</v>
      </c>
    </row>
    <row r="1018" spans="1:7" s="435" customFormat="1" ht="112.5" x14ac:dyDescent="0.3">
      <c r="A1018" s="1848"/>
      <c r="B1018" s="1121" t="s">
        <v>1228</v>
      </c>
      <c r="C1018" s="1467">
        <v>500000</v>
      </c>
      <c r="D1018" s="1622"/>
      <c r="E1018" s="1440">
        <v>500000</v>
      </c>
      <c r="F1018" s="829">
        <f t="shared" si="54"/>
        <v>0</v>
      </c>
      <c r="G1018" s="829">
        <f t="shared" si="55"/>
        <v>1000000</v>
      </c>
    </row>
    <row r="1019" spans="1:7" s="435" customFormat="1" ht="56.25" x14ac:dyDescent="0.3">
      <c r="A1019" s="1848"/>
      <c r="B1019" s="1121" t="s">
        <v>1229</v>
      </c>
      <c r="C1019" s="1622">
        <v>110000</v>
      </c>
      <c r="D1019" s="1622">
        <v>110000</v>
      </c>
      <c r="E1019" s="1440"/>
      <c r="F1019" s="829">
        <f t="shared" si="54"/>
        <v>0</v>
      </c>
      <c r="G1019" s="829">
        <f t="shared" si="55"/>
        <v>220000</v>
      </c>
    </row>
    <row r="1020" spans="1:7" s="435" customFormat="1" ht="75" x14ac:dyDescent="0.3">
      <c r="A1020" s="1848"/>
      <c r="B1020" s="1121" t="s">
        <v>1230</v>
      </c>
      <c r="C1020" s="1622">
        <v>40000</v>
      </c>
      <c r="D1020" s="1622">
        <v>40000</v>
      </c>
      <c r="E1020" s="1440"/>
      <c r="F1020" s="829">
        <f t="shared" si="54"/>
        <v>0</v>
      </c>
      <c r="G1020" s="829">
        <f t="shared" si="55"/>
        <v>80000</v>
      </c>
    </row>
    <row r="1021" spans="1:7" s="435" customFormat="1" ht="75" x14ac:dyDescent="0.3">
      <c r="A1021" s="1848"/>
      <c r="B1021" s="1121" t="s">
        <v>1231</v>
      </c>
      <c r="C1021" s="1622">
        <v>150000</v>
      </c>
      <c r="D1021" s="1622"/>
      <c r="E1021" s="1440">
        <v>150000</v>
      </c>
      <c r="F1021" s="829">
        <f t="shared" si="54"/>
        <v>0</v>
      </c>
      <c r="G1021" s="829">
        <f t="shared" si="55"/>
        <v>300000</v>
      </c>
    </row>
    <row r="1022" spans="1:7" s="435" customFormat="1" ht="112.5" x14ac:dyDescent="0.3">
      <c r="A1022" s="1848"/>
      <c r="B1022" s="506" t="s">
        <v>1521</v>
      </c>
      <c r="C1022" s="565">
        <v>36200</v>
      </c>
      <c r="D1022" s="565">
        <v>36200</v>
      </c>
      <c r="E1022" s="586"/>
      <c r="F1022" s="829">
        <f t="shared" si="54"/>
        <v>0</v>
      </c>
      <c r="G1022" s="829">
        <f t="shared" si="55"/>
        <v>72400</v>
      </c>
    </row>
    <row r="1023" spans="1:7" s="435" customFormat="1" ht="93.75" x14ac:dyDescent="0.3">
      <c r="A1023" s="1848"/>
      <c r="B1023" s="1630" t="s">
        <v>1522</v>
      </c>
      <c r="C1023" s="565">
        <v>36200</v>
      </c>
      <c r="D1023" s="565">
        <v>36200</v>
      </c>
      <c r="E1023" s="586"/>
      <c r="F1023" s="829">
        <f t="shared" si="54"/>
        <v>0</v>
      </c>
      <c r="G1023" s="829">
        <f t="shared" si="55"/>
        <v>72400</v>
      </c>
    </row>
    <row r="1024" spans="1:7" s="435" customFormat="1" ht="112.5" x14ac:dyDescent="0.3">
      <c r="A1024" s="1848"/>
      <c r="B1024" s="862" t="s">
        <v>1534</v>
      </c>
      <c r="C1024" s="1438">
        <f>SUM(D1024:E1024)</f>
        <v>11130</v>
      </c>
      <c r="D1024" s="1438">
        <v>11130</v>
      </c>
      <c r="E1024" s="1440"/>
      <c r="F1024" s="829">
        <f t="shared" si="54"/>
        <v>0</v>
      </c>
      <c r="G1024" s="829">
        <f t="shared" si="55"/>
        <v>22260</v>
      </c>
    </row>
    <row r="1025" spans="1:7" s="435" customFormat="1" ht="93.75" x14ac:dyDescent="0.3">
      <c r="A1025" s="1848"/>
      <c r="B1025" s="506" t="s">
        <v>1693</v>
      </c>
      <c r="C1025" s="1438">
        <v>300000</v>
      </c>
      <c r="D1025" s="1438"/>
      <c r="E1025" s="892">
        <v>300000</v>
      </c>
      <c r="F1025" s="829">
        <f t="shared" si="54"/>
        <v>0</v>
      </c>
      <c r="G1025" s="829">
        <f t="shared" si="55"/>
        <v>600000</v>
      </c>
    </row>
    <row r="1026" spans="1:7" s="435" customFormat="1" ht="93.75" x14ac:dyDescent="0.3">
      <c r="A1026" s="1848"/>
      <c r="B1026" s="506" t="s">
        <v>1694</v>
      </c>
      <c r="C1026" s="1438">
        <v>49900</v>
      </c>
      <c r="D1026" s="1438"/>
      <c r="E1026" s="565">
        <v>49900</v>
      </c>
      <c r="F1026" s="829">
        <f t="shared" si="54"/>
        <v>0</v>
      </c>
      <c r="G1026" s="829">
        <f t="shared" si="55"/>
        <v>99800</v>
      </c>
    </row>
    <row r="1027" spans="1:7" s="435" customFormat="1" ht="93.75" x14ac:dyDescent="0.3">
      <c r="A1027" s="1848"/>
      <c r="B1027" s="506" t="s">
        <v>1695</v>
      </c>
      <c r="C1027" s="1438">
        <v>69100</v>
      </c>
      <c r="D1027" s="1438"/>
      <c r="E1027" s="565">
        <v>69100</v>
      </c>
      <c r="F1027" s="829">
        <f t="shared" si="54"/>
        <v>0</v>
      </c>
      <c r="G1027" s="829">
        <f t="shared" si="55"/>
        <v>138200</v>
      </c>
    </row>
    <row r="1028" spans="1:7" s="435" customFormat="1" ht="56.25" x14ac:dyDescent="0.3">
      <c r="A1028" s="1848"/>
      <c r="B1028" s="506" t="s">
        <v>1696</v>
      </c>
      <c r="C1028" s="1438">
        <v>49900</v>
      </c>
      <c r="D1028" s="1438"/>
      <c r="E1028" s="565">
        <v>49900</v>
      </c>
      <c r="F1028" s="829">
        <f t="shared" si="54"/>
        <v>0</v>
      </c>
      <c r="G1028" s="829">
        <f t="shared" si="55"/>
        <v>99800</v>
      </c>
    </row>
    <row r="1029" spans="1:7" s="435" customFormat="1" ht="56.25" x14ac:dyDescent="0.3">
      <c r="A1029" s="1848"/>
      <c r="B1029" s="506" t="s">
        <v>1697</v>
      </c>
      <c r="C1029" s="1438">
        <v>49900</v>
      </c>
      <c r="D1029" s="1438"/>
      <c r="E1029" s="892">
        <v>49900</v>
      </c>
      <c r="F1029" s="829">
        <f t="shared" si="54"/>
        <v>0</v>
      </c>
      <c r="G1029" s="829">
        <f t="shared" si="55"/>
        <v>99800</v>
      </c>
    </row>
    <row r="1030" spans="1:7" s="435" customFormat="1" ht="75" x14ac:dyDescent="0.3">
      <c r="A1030" s="1848"/>
      <c r="B1030" s="506" t="s">
        <v>1698</v>
      </c>
      <c r="C1030" s="1438">
        <v>50000</v>
      </c>
      <c r="D1030" s="1438">
        <v>50000</v>
      </c>
      <c r="E1030" s="892"/>
      <c r="F1030" s="829">
        <f t="shared" si="54"/>
        <v>0</v>
      </c>
      <c r="G1030" s="829">
        <f t="shared" si="55"/>
        <v>100000</v>
      </c>
    </row>
    <row r="1031" spans="1:7" s="435" customFormat="1" ht="112.5" x14ac:dyDescent="0.3">
      <c r="A1031" s="1848"/>
      <c r="B1031" s="506" t="s">
        <v>1699</v>
      </c>
      <c r="C1031" s="1438">
        <v>95000</v>
      </c>
      <c r="D1031" s="1438"/>
      <c r="E1031" s="892">
        <v>95000</v>
      </c>
      <c r="F1031" s="829">
        <f t="shared" si="54"/>
        <v>0</v>
      </c>
      <c r="G1031" s="829">
        <f t="shared" si="55"/>
        <v>190000</v>
      </c>
    </row>
    <row r="1032" spans="1:7" s="435" customFormat="1" ht="75" x14ac:dyDescent="0.3">
      <c r="A1032" s="1848"/>
      <c r="B1032" s="506" t="s">
        <v>1700</v>
      </c>
      <c r="C1032" s="1438">
        <v>30000</v>
      </c>
      <c r="D1032" s="565">
        <v>30000</v>
      </c>
      <c r="E1032" s="565"/>
      <c r="F1032" s="829">
        <f t="shared" si="54"/>
        <v>0</v>
      </c>
      <c r="G1032" s="829">
        <f t="shared" si="55"/>
        <v>60000</v>
      </c>
    </row>
    <row r="1033" spans="1:7" s="435" customFormat="1" ht="112.5" x14ac:dyDescent="0.3">
      <c r="A1033" s="1848"/>
      <c r="B1033" s="1121" t="s">
        <v>1701</v>
      </c>
      <c r="C1033" s="1438">
        <v>163800</v>
      </c>
      <c r="D1033" s="1438"/>
      <c r="E1033" s="565">
        <v>163800</v>
      </c>
      <c r="F1033" s="829">
        <f t="shared" si="54"/>
        <v>0</v>
      </c>
      <c r="G1033" s="829">
        <f t="shared" ref="G1033:G1096" si="60">SUM(C1033:E1033)</f>
        <v>327600</v>
      </c>
    </row>
    <row r="1034" spans="1:7" s="435" customFormat="1" ht="75" x14ac:dyDescent="0.3">
      <c r="A1034" s="1848"/>
      <c r="B1034" s="506" t="s">
        <v>1702</v>
      </c>
      <c r="C1034" s="565">
        <v>35000</v>
      </c>
      <c r="D1034" s="565"/>
      <c r="E1034" s="565">
        <v>35000</v>
      </c>
      <c r="F1034" s="829">
        <f t="shared" si="54"/>
        <v>0</v>
      </c>
      <c r="G1034" s="829">
        <f t="shared" si="60"/>
        <v>70000</v>
      </c>
    </row>
    <row r="1035" spans="1:7" s="435" customFormat="1" ht="75" x14ac:dyDescent="0.3">
      <c r="A1035" s="1848"/>
      <c r="B1035" s="506" t="s">
        <v>1703</v>
      </c>
      <c r="C1035" s="1457">
        <v>60000</v>
      </c>
      <c r="D1035" s="1457">
        <v>60000</v>
      </c>
      <c r="E1035" s="1457"/>
      <c r="F1035" s="829">
        <f t="shared" si="54"/>
        <v>0</v>
      </c>
      <c r="G1035" s="829">
        <f t="shared" si="60"/>
        <v>120000</v>
      </c>
    </row>
    <row r="1036" spans="1:7" s="435" customFormat="1" ht="56.25" x14ac:dyDescent="0.3">
      <c r="A1036" s="1848"/>
      <c r="B1036" s="506" t="s">
        <v>1704</v>
      </c>
      <c r="C1036" s="1457">
        <v>25000</v>
      </c>
      <c r="D1036" s="1457">
        <v>25000</v>
      </c>
      <c r="E1036" s="1457"/>
      <c r="F1036" s="829">
        <f t="shared" si="54"/>
        <v>0</v>
      </c>
      <c r="G1036" s="829">
        <f t="shared" si="60"/>
        <v>50000</v>
      </c>
    </row>
    <row r="1037" spans="1:7" s="435" customFormat="1" ht="93.75" x14ac:dyDescent="0.3">
      <c r="A1037" s="1848"/>
      <c r="B1037" s="862" t="s">
        <v>2049</v>
      </c>
      <c r="C1037" s="1631">
        <v>24000</v>
      </c>
      <c r="D1037" s="1627">
        <v>24000</v>
      </c>
      <c r="E1037" s="1627"/>
      <c r="F1037" s="1646"/>
      <c r="G1037" s="829">
        <f t="shared" si="60"/>
        <v>48000</v>
      </c>
    </row>
    <row r="1038" spans="1:7" s="435" customFormat="1" ht="75" x14ac:dyDescent="0.3">
      <c r="A1038" s="1848"/>
      <c r="B1038" s="862" t="s">
        <v>2050</v>
      </c>
      <c r="C1038" s="1631">
        <v>24000</v>
      </c>
      <c r="D1038" s="1627"/>
      <c r="E1038" s="1627">
        <v>24000</v>
      </c>
      <c r="F1038" s="1646"/>
      <c r="G1038" s="829">
        <f t="shared" si="60"/>
        <v>48000</v>
      </c>
    </row>
    <row r="1039" spans="1:7" s="435" customFormat="1" ht="112.5" x14ac:dyDescent="0.3">
      <c r="A1039" s="1848"/>
      <c r="B1039" s="862" t="s">
        <v>2300</v>
      </c>
      <c r="C1039" s="1627">
        <v>108956</v>
      </c>
      <c r="D1039" s="1627"/>
      <c r="E1039" s="1627">
        <v>108956</v>
      </c>
      <c r="F1039" s="1646"/>
      <c r="G1039" s="829">
        <f t="shared" si="60"/>
        <v>217912</v>
      </c>
    </row>
    <row r="1040" spans="1:7" s="435" customFormat="1" ht="112.5" x14ac:dyDescent="0.3">
      <c r="A1040" s="1848"/>
      <c r="B1040" s="862" t="s">
        <v>2051</v>
      </c>
      <c r="C1040" s="1627">
        <v>49500</v>
      </c>
      <c r="D1040" s="1627"/>
      <c r="E1040" s="1627">
        <v>49500</v>
      </c>
      <c r="F1040" s="1646"/>
      <c r="G1040" s="829">
        <f t="shared" si="60"/>
        <v>99000</v>
      </c>
    </row>
    <row r="1041" spans="1:7" s="435" customFormat="1" ht="168.75" x14ac:dyDescent="0.3">
      <c r="A1041" s="1848"/>
      <c r="B1041" s="1045" t="s">
        <v>2338</v>
      </c>
      <c r="C1041" s="586">
        <v>1147181</v>
      </c>
      <c r="D1041" s="586"/>
      <c r="E1041" s="586">
        <v>1147181</v>
      </c>
      <c r="F1041" s="829"/>
      <c r="G1041" s="829">
        <f t="shared" si="60"/>
        <v>2294362</v>
      </c>
    </row>
    <row r="1042" spans="1:7" s="435" customFormat="1" ht="75" x14ac:dyDescent="0.3">
      <c r="A1042" s="1848"/>
      <c r="B1042" s="506" t="s">
        <v>2189</v>
      </c>
      <c r="C1042" s="1631">
        <v>41444</v>
      </c>
      <c r="D1042" s="1631">
        <v>41444</v>
      </c>
      <c r="E1042" s="1625"/>
      <c r="F1042" s="829"/>
      <c r="G1042" s="829">
        <f t="shared" si="60"/>
        <v>82888</v>
      </c>
    </row>
    <row r="1043" spans="1:7" s="435" customFormat="1" ht="112.5" x14ac:dyDescent="0.3">
      <c r="A1043" s="1848"/>
      <c r="B1043" s="1623" t="s">
        <v>2190</v>
      </c>
      <c r="C1043" s="1625">
        <v>191044</v>
      </c>
      <c r="D1043" s="1625"/>
      <c r="E1043" s="1625">
        <v>191044</v>
      </c>
      <c r="F1043" s="829"/>
      <c r="G1043" s="829">
        <f t="shared" si="60"/>
        <v>382088</v>
      </c>
    </row>
    <row r="1044" spans="1:7" s="435" customFormat="1" ht="93.75" x14ac:dyDescent="0.3">
      <c r="A1044" s="1848"/>
      <c r="B1044" s="1612" t="s">
        <v>2191</v>
      </c>
      <c r="C1044" s="1625">
        <v>32044</v>
      </c>
      <c r="D1044" s="1625">
        <v>11000</v>
      </c>
      <c r="E1044" s="1625">
        <v>21044</v>
      </c>
      <c r="F1044" s="829"/>
      <c r="G1044" s="829">
        <f t="shared" si="60"/>
        <v>64088</v>
      </c>
    </row>
    <row r="1045" spans="1:7" s="435" customFormat="1" ht="37.5" x14ac:dyDescent="0.3">
      <c r="A1045" s="1848"/>
      <c r="B1045" s="1612" t="s">
        <v>2192</v>
      </c>
      <c r="C1045" s="1625">
        <v>40000</v>
      </c>
      <c r="D1045" s="1625">
        <v>40000</v>
      </c>
      <c r="E1045" s="1625"/>
      <c r="F1045" s="829"/>
      <c r="G1045" s="829">
        <f t="shared" si="60"/>
        <v>80000</v>
      </c>
    </row>
    <row r="1046" spans="1:7" s="435" customFormat="1" ht="93.75" x14ac:dyDescent="0.3">
      <c r="A1046" s="1848"/>
      <c r="B1046" s="1612" t="s">
        <v>2193</v>
      </c>
      <c r="C1046" s="1625">
        <v>20000</v>
      </c>
      <c r="D1046" s="1625">
        <v>20000</v>
      </c>
      <c r="E1046" s="1625"/>
      <c r="F1046" s="829"/>
      <c r="G1046" s="829">
        <f t="shared" si="60"/>
        <v>40000</v>
      </c>
    </row>
    <row r="1047" spans="1:7" s="435" customFormat="1" hidden="1" x14ac:dyDescent="0.3">
      <c r="A1047" s="1848"/>
      <c r="B1047" s="984"/>
      <c r="C1047" s="1442"/>
      <c r="D1047" s="1442"/>
      <c r="E1047" s="1442"/>
      <c r="F1047" s="829"/>
      <c r="G1047" s="829">
        <f t="shared" si="60"/>
        <v>0</v>
      </c>
    </row>
    <row r="1048" spans="1:7" s="435" customFormat="1" hidden="1" x14ac:dyDescent="0.3">
      <c r="A1048" s="1848"/>
      <c r="B1048" s="984"/>
      <c r="C1048" s="1442"/>
      <c r="D1048" s="1442"/>
      <c r="E1048" s="1442"/>
      <c r="F1048" s="829"/>
      <c r="G1048" s="829">
        <f t="shared" si="60"/>
        <v>0</v>
      </c>
    </row>
    <row r="1049" spans="1:7" s="435" customFormat="1" hidden="1" x14ac:dyDescent="0.3">
      <c r="A1049" s="1848"/>
      <c r="B1049" s="984"/>
      <c r="C1049" s="1442"/>
      <c r="D1049" s="1442"/>
      <c r="E1049" s="1442"/>
      <c r="F1049" s="829"/>
      <c r="G1049" s="829">
        <f t="shared" si="60"/>
        <v>0</v>
      </c>
    </row>
    <row r="1050" spans="1:7" s="435" customFormat="1" hidden="1" x14ac:dyDescent="0.3">
      <c r="A1050" s="1848"/>
      <c r="B1050" s="984"/>
      <c r="C1050" s="1442"/>
      <c r="D1050" s="1442"/>
      <c r="E1050" s="1442"/>
      <c r="F1050" s="829"/>
      <c r="G1050" s="829">
        <f t="shared" si="60"/>
        <v>0</v>
      </c>
    </row>
    <row r="1051" spans="1:7" s="435" customFormat="1" hidden="1" x14ac:dyDescent="0.3">
      <c r="A1051" s="1848"/>
      <c r="B1051" s="965"/>
      <c r="C1051" s="1444"/>
      <c r="D1051" s="1444"/>
      <c r="E1051" s="1445"/>
      <c r="F1051" s="829"/>
      <c r="G1051" s="829">
        <f t="shared" si="60"/>
        <v>0</v>
      </c>
    </row>
    <row r="1052" spans="1:7" s="435" customFormat="1" hidden="1" x14ac:dyDescent="0.3">
      <c r="A1052" s="1848"/>
      <c r="B1052" s="965"/>
      <c r="C1052" s="1444"/>
      <c r="D1052" s="1444"/>
      <c r="E1052" s="1445"/>
      <c r="F1052" s="829"/>
      <c r="G1052" s="829">
        <f t="shared" si="60"/>
        <v>0</v>
      </c>
    </row>
    <row r="1053" spans="1:7" s="435" customFormat="1" hidden="1" x14ac:dyDescent="0.3">
      <c r="A1053" s="1848"/>
      <c r="B1053" s="965"/>
      <c r="C1053" s="1444"/>
      <c r="D1053" s="1444"/>
      <c r="E1053" s="1445"/>
      <c r="F1053" s="829"/>
      <c r="G1053" s="829">
        <f t="shared" si="60"/>
        <v>0</v>
      </c>
    </row>
    <row r="1054" spans="1:7" s="435" customFormat="1" hidden="1" x14ac:dyDescent="0.3">
      <c r="A1054" s="1848"/>
      <c r="B1054" s="862"/>
      <c r="C1054" s="1438">
        <f>SUM(D1054:E1054)</f>
        <v>0</v>
      </c>
      <c r="D1054" s="1439"/>
      <c r="E1054" s="1440"/>
      <c r="F1054" s="829">
        <f t="shared" si="54"/>
        <v>0</v>
      </c>
      <c r="G1054" s="829">
        <f t="shared" si="60"/>
        <v>0</v>
      </c>
    </row>
    <row r="1055" spans="1:7" s="435" customFormat="1" x14ac:dyDescent="0.3">
      <c r="A1055" s="1848"/>
      <c r="B1055" s="862" t="s">
        <v>740</v>
      </c>
      <c r="C1055" s="1438">
        <f>SUM(C1016:C1054)</f>
        <v>3688899</v>
      </c>
      <c r="D1055" s="1438">
        <f>SUM(D1016:D1054)</f>
        <v>584574</v>
      </c>
      <c r="E1055" s="1438">
        <f>SUM(E1016:E1054)</f>
        <v>3104325</v>
      </c>
      <c r="F1055" s="829">
        <f t="shared" si="54"/>
        <v>0</v>
      </c>
      <c r="G1055" s="829">
        <f t="shared" si="60"/>
        <v>7377798</v>
      </c>
    </row>
    <row r="1056" spans="1:7" s="435" customFormat="1" ht="75" x14ac:dyDescent="0.3">
      <c r="A1056" s="1848" t="s">
        <v>1129</v>
      </c>
      <c r="B1056" s="507" t="s">
        <v>617</v>
      </c>
      <c r="C1056" s="1460">
        <v>24700</v>
      </c>
      <c r="D1056" s="1460">
        <v>24700</v>
      </c>
      <c r="E1056" s="1469"/>
      <c r="F1056" s="829">
        <f t="shared" si="54"/>
        <v>0</v>
      </c>
      <c r="G1056" s="829">
        <f t="shared" si="60"/>
        <v>49400</v>
      </c>
    </row>
    <row r="1057" spans="1:7" s="435" customFormat="1" ht="56.25" x14ac:dyDescent="0.3">
      <c r="A1057" s="1848"/>
      <c r="B1057" s="862" t="s">
        <v>1538</v>
      </c>
      <c r="C1057" s="565">
        <v>250000</v>
      </c>
      <c r="D1057" s="565">
        <v>250000</v>
      </c>
      <c r="E1057" s="565"/>
      <c r="F1057" s="829">
        <f t="shared" si="54"/>
        <v>0</v>
      </c>
      <c r="G1057" s="829">
        <f t="shared" si="60"/>
        <v>500000</v>
      </c>
    </row>
    <row r="1058" spans="1:7" s="435" customFormat="1" ht="37.5" x14ac:dyDescent="0.3">
      <c r="A1058" s="1848"/>
      <c r="B1058" s="506" t="s">
        <v>1705</v>
      </c>
      <c r="C1058" s="1438">
        <f>SUM(D1058:E1058)</f>
        <v>50000</v>
      </c>
      <c r="D1058" s="1438">
        <v>50000</v>
      </c>
      <c r="E1058" s="892"/>
      <c r="F1058" s="829">
        <f t="shared" si="54"/>
        <v>0</v>
      </c>
      <c r="G1058" s="829">
        <f t="shared" si="60"/>
        <v>100000</v>
      </c>
    </row>
    <row r="1059" spans="1:7" s="435" customFormat="1" ht="168.75" x14ac:dyDescent="0.3">
      <c r="A1059" s="1848"/>
      <c r="B1059" s="507" t="s">
        <v>1917</v>
      </c>
      <c r="C1059" s="1439">
        <f>SUM(D1059:E1059)</f>
        <v>6000</v>
      </c>
      <c r="D1059" s="1439">
        <v>6000</v>
      </c>
      <c r="E1059" s="1440"/>
      <c r="F1059" s="829">
        <f>E1059+D1059-C1059</f>
        <v>0</v>
      </c>
      <c r="G1059" s="829">
        <f t="shared" si="60"/>
        <v>12000</v>
      </c>
    </row>
    <row r="1060" spans="1:7" s="435" customFormat="1" hidden="1" x14ac:dyDescent="0.3">
      <c r="A1060" s="1848"/>
      <c r="B1060" s="862"/>
      <c r="C1060" s="1438">
        <f t="shared" ref="C1060:C1065" si="61">SUM(D1060:E1060)</f>
        <v>0</v>
      </c>
      <c r="D1060" s="1439"/>
      <c r="E1060" s="1440"/>
      <c r="F1060" s="829">
        <f t="shared" ref="F1060:F1124" si="62">E1060+D1060-C1060</f>
        <v>0</v>
      </c>
      <c r="G1060" s="829">
        <f t="shared" si="60"/>
        <v>0</v>
      </c>
    </row>
    <row r="1061" spans="1:7" s="435" customFormat="1" hidden="1" x14ac:dyDescent="0.3">
      <c r="A1061" s="1848"/>
      <c r="B1061" s="862"/>
      <c r="C1061" s="1438">
        <f t="shared" si="61"/>
        <v>0</v>
      </c>
      <c r="D1061" s="1439"/>
      <c r="E1061" s="1440"/>
      <c r="F1061" s="829">
        <f t="shared" si="62"/>
        <v>0</v>
      </c>
      <c r="G1061" s="829">
        <f t="shared" si="60"/>
        <v>0</v>
      </c>
    </row>
    <row r="1062" spans="1:7" s="435" customFormat="1" hidden="1" x14ac:dyDescent="0.3">
      <c r="A1062" s="1848"/>
      <c r="B1062" s="862"/>
      <c r="C1062" s="1438">
        <f t="shared" si="61"/>
        <v>0</v>
      </c>
      <c r="D1062" s="1439"/>
      <c r="E1062" s="1440"/>
      <c r="F1062" s="829">
        <f t="shared" si="62"/>
        <v>0</v>
      </c>
      <c r="G1062" s="829">
        <f t="shared" si="60"/>
        <v>0</v>
      </c>
    </row>
    <row r="1063" spans="1:7" s="435" customFormat="1" hidden="1" x14ac:dyDescent="0.3">
      <c r="A1063" s="1848"/>
      <c r="B1063" s="862"/>
      <c r="C1063" s="1438">
        <f t="shared" si="61"/>
        <v>0</v>
      </c>
      <c r="D1063" s="1439"/>
      <c r="E1063" s="1440"/>
      <c r="F1063" s="829">
        <f t="shared" si="62"/>
        <v>0</v>
      </c>
      <c r="G1063" s="829">
        <f t="shared" si="60"/>
        <v>0</v>
      </c>
    </row>
    <row r="1064" spans="1:7" s="435" customFormat="1" hidden="1" x14ac:dyDescent="0.3">
      <c r="A1064" s="1848"/>
      <c r="B1064" s="862"/>
      <c r="C1064" s="1438">
        <f t="shared" si="61"/>
        <v>0</v>
      </c>
      <c r="D1064" s="1439"/>
      <c r="E1064" s="1440"/>
      <c r="F1064" s="829">
        <f t="shared" si="62"/>
        <v>0</v>
      </c>
      <c r="G1064" s="829">
        <f t="shared" si="60"/>
        <v>0</v>
      </c>
    </row>
    <row r="1065" spans="1:7" s="435" customFormat="1" hidden="1" x14ac:dyDescent="0.3">
      <c r="A1065" s="1848"/>
      <c r="B1065" s="862"/>
      <c r="C1065" s="1438">
        <f t="shared" si="61"/>
        <v>0</v>
      </c>
      <c r="D1065" s="1439"/>
      <c r="E1065" s="1440"/>
      <c r="F1065" s="829">
        <f t="shared" si="62"/>
        <v>0</v>
      </c>
      <c r="G1065" s="829">
        <f t="shared" si="60"/>
        <v>0</v>
      </c>
    </row>
    <row r="1066" spans="1:7" s="435" customFormat="1" x14ac:dyDescent="0.3">
      <c r="A1066" s="1848"/>
      <c r="B1066" s="862" t="s">
        <v>740</v>
      </c>
      <c r="C1066" s="1438">
        <f>SUM(C1056:C1065)</f>
        <v>330700</v>
      </c>
      <c r="D1066" s="1438">
        <f>SUM(D1056:D1065)</f>
        <v>330700</v>
      </c>
      <c r="E1066" s="1438">
        <f>SUM(E1056:E1065)</f>
        <v>0</v>
      </c>
      <c r="F1066" s="829">
        <f t="shared" si="62"/>
        <v>0</v>
      </c>
      <c r="G1066" s="829">
        <f t="shared" si="60"/>
        <v>661400</v>
      </c>
    </row>
    <row r="1067" spans="1:7" s="435" customFormat="1" ht="75" x14ac:dyDescent="0.3">
      <c r="A1067" s="1848" t="s">
        <v>1131</v>
      </c>
      <c r="B1067" s="507" t="s">
        <v>617</v>
      </c>
      <c r="C1067" s="1460">
        <v>7000</v>
      </c>
      <c r="D1067" s="1460">
        <v>7000</v>
      </c>
      <c r="E1067" s="1469"/>
      <c r="F1067" s="829">
        <f t="shared" si="62"/>
        <v>0</v>
      </c>
      <c r="G1067" s="829">
        <f t="shared" si="60"/>
        <v>14000</v>
      </c>
    </row>
    <row r="1068" spans="1:7" s="435" customFormat="1" ht="37.5" x14ac:dyDescent="0.3">
      <c r="A1068" s="1848"/>
      <c r="B1068" s="1628" t="s">
        <v>2194</v>
      </c>
      <c r="C1068" s="1631">
        <v>80000</v>
      </c>
      <c r="D1068" s="1631"/>
      <c r="E1068" s="1625">
        <v>80000</v>
      </c>
      <c r="F1068" s="829">
        <f t="shared" si="62"/>
        <v>0</v>
      </c>
      <c r="G1068" s="829">
        <f t="shared" si="60"/>
        <v>160000</v>
      </c>
    </row>
    <row r="1069" spans="1:7" s="435" customFormat="1" hidden="1" x14ac:dyDescent="0.3">
      <c r="A1069" s="1848"/>
      <c r="B1069" s="862"/>
      <c r="C1069" s="1438">
        <f t="shared" ref="C1069:C1076" si="63">SUM(D1069:E1069)</f>
        <v>0</v>
      </c>
      <c r="D1069" s="1439"/>
      <c r="E1069" s="1440"/>
      <c r="F1069" s="829">
        <f t="shared" si="62"/>
        <v>0</v>
      </c>
      <c r="G1069" s="829">
        <f t="shared" si="60"/>
        <v>0</v>
      </c>
    </row>
    <row r="1070" spans="1:7" s="435" customFormat="1" hidden="1" x14ac:dyDescent="0.3">
      <c r="A1070" s="1848"/>
      <c r="B1070" s="862"/>
      <c r="C1070" s="1438">
        <f t="shared" si="63"/>
        <v>0</v>
      </c>
      <c r="D1070" s="1439"/>
      <c r="E1070" s="1440"/>
      <c r="F1070" s="829">
        <f t="shared" si="62"/>
        <v>0</v>
      </c>
      <c r="G1070" s="829">
        <f t="shared" si="60"/>
        <v>0</v>
      </c>
    </row>
    <row r="1071" spans="1:7" s="435" customFormat="1" hidden="1" x14ac:dyDescent="0.3">
      <c r="A1071" s="1848"/>
      <c r="B1071" s="862"/>
      <c r="C1071" s="1438">
        <f t="shared" si="63"/>
        <v>0</v>
      </c>
      <c r="D1071" s="1439"/>
      <c r="E1071" s="1440"/>
      <c r="F1071" s="829">
        <f t="shared" si="62"/>
        <v>0</v>
      </c>
      <c r="G1071" s="829">
        <f t="shared" si="60"/>
        <v>0</v>
      </c>
    </row>
    <row r="1072" spans="1:7" s="435" customFormat="1" hidden="1" x14ac:dyDescent="0.3">
      <c r="A1072" s="1848"/>
      <c r="B1072" s="862"/>
      <c r="C1072" s="1438">
        <f t="shared" si="63"/>
        <v>0</v>
      </c>
      <c r="D1072" s="1439"/>
      <c r="E1072" s="1440"/>
      <c r="F1072" s="829">
        <f t="shared" si="62"/>
        <v>0</v>
      </c>
      <c r="G1072" s="829">
        <f t="shared" si="60"/>
        <v>0</v>
      </c>
    </row>
    <row r="1073" spans="1:7" s="435" customFormat="1" hidden="1" x14ac:dyDescent="0.3">
      <c r="A1073" s="1848"/>
      <c r="B1073" s="862"/>
      <c r="C1073" s="1438">
        <f t="shared" si="63"/>
        <v>0</v>
      </c>
      <c r="D1073" s="1439"/>
      <c r="E1073" s="1440"/>
      <c r="F1073" s="829">
        <f t="shared" si="62"/>
        <v>0</v>
      </c>
      <c r="G1073" s="829">
        <f t="shared" si="60"/>
        <v>0</v>
      </c>
    </row>
    <row r="1074" spans="1:7" s="435" customFormat="1" hidden="1" x14ac:dyDescent="0.3">
      <c r="A1074" s="1848"/>
      <c r="B1074" s="862"/>
      <c r="C1074" s="1438">
        <f t="shared" si="63"/>
        <v>0</v>
      </c>
      <c r="D1074" s="1439"/>
      <c r="E1074" s="1440"/>
      <c r="F1074" s="829">
        <f t="shared" si="62"/>
        <v>0</v>
      </c>
      <c r="G1074" s="829">
        <f t="shared" si="60"/>
        <v>0</v>
      </c>
    </row>
    <row r="1075" spans="1:7" s="435" customFormat="1" hidden="1" x14ac:dyDescent="0.3">
      <c r="A1075" s="1848"/>
      <c r="B1075" s="862"/>
      <c r="C1075" s="1438">
        <f t="shared" si="63"/>
        <v>0</v>
      </c>
      <c r="D1075" s="1439"/>
      <c r="E1075" s="1440"/>
      <c r="F1075" s="829">
        <f t="shared" si="62"/>
        <v>0</v>
      </c>
      <c r="G1075" s="829">
        <f t="shared" si="60"/>
        <v>0</v>
      </c>
    </row>
    <row r="1076" spans="1:7" s="435" customFormat="1" hidden="1" x14ac:dyDescent="0.3">
      <c r="A1076" s="1848"/>
      <c r="B1076" s="862"/>
      <c r="C1076" s="1438">
        <f t="shared" si="63"/>
        <v>0</v>
      </c>
      <c r="D1076" s="1439"/>
      <c r="E1076" s="1440"/>
      <c r="F1076" s="829">
        <f t="shared" si="62"/>
        <v>0</v>
      </c>
      <c r="G1076" s="829">
        <f t="shared" si="60"/>
        <v>0</v>
      </c>
    </row>
    <row r="1077" spans="1:7" s="435" customFormat="1" x14ac:dyDescent="0.3">
      <c r="A1077" s="1848"/>
      <c r="B1077" s="862" t="s">
        <v>740</v>
      </c>
      <c r="C1077" s="1438">
        <f>SUM(C1067:C1076)</f>
        <v>87000</v>
      </c>
      <c r="D1077" s="1438">
        <f>SUM(D1067:D1076)</f>
        <v>7000</v>
      </c>
      <c r="E1077" s="1438">
        <f>SUM(E1067:E1076)</f>
        <v>80000</v>
      </c>
      <c r="F1077" s="829">
        <f t="shared" si="62"/>
        <v>0</v>
      </c>
      <c r="G1077" s="829">
        <f t="shared" si="60"/>
        <v>174000</v>
      </c>
    </row>
    <row r="1078" spans="1:7" s="435" customFormat="1" ht="75" x14ac:dyDescent="0.3">
      <c r="A1078" s="1848" t="s">
        <v>1133</v>
      </c>
      <c r="B1078" s="507" t="s">
        <v>617</v>
      </c>
      <c r="C1078" s="1460">
        <v>126200</v>
      </c>
      <c r="D1078" s="1460">
        <v>126200</v>
      </c>
      <c r="E1078" s="1469"/>
      <c r="F1078" s="829">
        <f t="shared" si="62"/>
        <v>0</v>
      </c>
      <c r="G1078" s="829">
        <f t="shared" si="60"/>
        <v>252400</v>
      </c>
    </row>
    <row r="1079" spans="1:7" s="435" customFormat="1" ht="112.5" x14ac:dyDescent="0.3">
      <c r="A1079" s="1848"/>
      <c r="B1079" s="862" t="s">
        <v>1534</v>
      </c>
      <c r="C1079" s="1438">
        <f>SUM(D1079:E1079)</f>
        <v>22260</v>
      </c>
      <c r="D1079" s="1438">
        <v>22260</v>
      </c>
      <c r="E1079" s="1440"/>
      <c r="F1079" s="829">
        <f t="shared" si="62"/>
        <v>0</v>
      </c>
      <c r="G1079" s="829">
        <f t="shared" si="60"/>
        <v>44520</v>
      </c>
    </row>
    <row r="1080" spans="1:7" s="435" customFormat="1" ht="93.75" x14ac:dyDescent="0.3">
      <c r="A1080" s="1848"/>
      <c r="B1080" s="1628" t="s">
        <v>2195</v>
      </c>
      <c r="C1080" s="1625">
        <v>40000</v>
      </c>
      <c r="D1080" s="1625">
        <v>40000</v>
      </c>
      <c r="E1080" s="1625"/>
      <c r="F1080" s="829">
        <f t="shared" si="62"/>
        <v>0</v>
      </c>
      <c r="G1080" s="829">
        <f t="shared" si="60"/>
        <v>80000</v>
      </c>
    </row>
    <row r="1081" spans="1:7" s="435" customFormat="1" ht="112.5" x14ac:dyDescent="0.3">
      <c r="A1081" s="1848"/>
      <c r="B1081" s="1628" t="s">
        <v>2196</v>
      </c>
      <c r="C1081" s="1625">
        <v>20000</v>
      </c>
      <c r="D1081" s="1625">
        <v>20000</v>
      </c>
      <c r="E1081" s="1625"/>
      <c r="F1081" s="829">
        <f t="shared" si="62"/>
        <v>0</v>
      </c>
      <c r="G1081" s="829">
        <f t="shared" si="60"/>
        <v>40000</v>
      </c>
    </row>
    <row r="1082" spans="1:7" s="435" customFormat="1" hidden="1" x14ac:dyDescent="0.3">
      <c r="A1082" s="1848"/>
      <c r="B1082" s="862"/>
      <c r="C1082" s="1438">
        <f t="shared" ref="C1082:C1087" si="64">SUM(D1082:E1082)</f>
        <v>0</v>
      </c>
      <c r="D1082" s="1439"/>
      <c r="E1082" s="1440"/>
      <c r="F1082" s="829">
        <f t="shared" si="62"/>
        <v>0</v>
      </c>
      <c r="G1082" s="829">
        <f t="shared" si="60"/>
        <v>0</v>
      </c>
    </row>
    <row r="1083" spans="1:7" s="435" customFormat="1" hidden="1" x14ac:dyDescent="0.3">
      <c r="A1083" s="1848"/>
      <c r="B1083" s="862"/>
      <c r="C1083" s="1438">
        <f t="shared" si="64"/>
        <v>0</v>
      </c>
      <c r="D1083" s="1439"/>
      <c r="E1083" s="1440"/>
      <c r="F1083" s="829">
        <f t="shared" si="62"/>
        <v>0</v>
      </c>
      <c r="G1083" s="829">
        <f t="shared" si="60"/>
        <v>0</v>
      </c>
    </row>
    <row r="1084" spans="1:7" s="435" customFormat="1" hidden="1" x14ac:dyDescent="0.3">
      <c r="A1084" s="1848"/>
      <c r="B1084" s="862"/>
      <c r="C1084" s="1438">
        <f t="shared" si="64"/>
        <v>0</v>
      </c>
      <c r="D1084" s="1439"/>
      <c r="E1084" s="1440"/>
      <c r="F1084" s="829">
        <f t="shared" si="62"/>
        <v>0</v>
      </c>
      <c r="G1084" s="829">
        <f t="shared" si="60"/>
        <v>0</v>
      </c>
    </row>
    <row r="1085" spans="1:7" s="435" customFormat="1" hidden="1" x14ac:dyDescent="0.3">
      <c r="A1085" s="1848"/>
      <c r="B1085" s="862"/>
      <c r="C1085" s="1438">
        <f t="shared" si="64"/>
        <v>0</v>
      </c>
      <c r="D1085" s="1439"/>
      <c r="E1085" s="1440"/>
      <c r="F1085" s="829">
        <f t="shared" si="62"/>
        <v>0</v>
      </c>
      <c r="G1085" s="829">
        <f t="shared" si="60"/>
        <v>0</v>
      </c>
    </row>
    <row r="1086" spans="1:7" s="435" customFormat="1" hidden="1" x14ac:dyDescent="0.3">
      <c r="A1086" s="1848"/>
      <c r="B1086" s="862"/>
      <c r="C1086" s="1438">
        <f t="shared" si="64"/>
        <v>0</v>
      </c>
      <c r="D1086" s="1439"/>
      <c r="E1086" s="1440"/>
      <c r="F1086" s="829">
        <f t="shared" si="62"/>
        <v>0</v>
      </c>
      <c r="G1086" s="829">
        <f t="shared" si="60"/>
        <v>0</v>
      </c>
    </row>
    <row r="1087" spans="1:7" s="435" customFormat="1" hidden="1" x14ac:dyDescent="0.3">
      <c r="A1087" s="1848"/>
      <c r="B1087" s="862"/>
      <c r="C1087" s="1438">
        <f t="shared" si="64"/>
        <v>0</v>
      </c>
      <c r="D1087" s="1439"/>
      <c r="E1087" s="1440"/>
      <c r="F1087" s="829">
        <f t="shared" si="62"/>
        <v>0</v>
      </c>
      <c r="G1087" s="829">
        <f t="shared" si="60"/>
        <v>0</v>
      </c>
    </row>
    <row r="1088" spans="1:7" s="435" customFormat="1" x14ac:dyDescent="0.3">
      <c r="A1088" s="1848"/>
      <c r="B1088" s="862" t="s">
        <v>740</v>
      </c>
      <c r="C1088" s="1438">
        <f>SUM(C1078:C1087)</f>
        <v>208460</v>
      </c>
      <c r="D1088" s="1438">
        <f>SUM(D1078:D1087)</f>
        <v>208460</v>
      </c>
      <c r="E1088" s="1438">
        <f>SUM(E1078:E1087)</f>
        <v>0</v>
      </c>
      <c r="F1088" s="829">
        <f t="shared" si="62"/>
        <v>0</v>
      </c>
      <c r="G1088" s="829">
        <f t="shared" si="60"/>
        <v>416920</v>
      </c>
    </row>
    <row r="1089" spans="1:7" s="435" customFormat="1" ht="75" x14ac:dyDescent="0.3">
      <c r="A1089" s="1848" t="s">
        <v>1135</v>
      </c>
      <c r="B1089" s="507" t="s">
        <v>617</v>
      </c>
      <c r="C1089" s="1460">
        <v>4700</v>
      </c>
      <c r="D1089" s="1460">
        <v>4700</v>
      </c>
      <c r="E1089" s="1469"/>
      <c r="F1089" s="829">
        <f t="shared" si="62"/>
        <v>0</v>
      </c>
      <c r="G1089" s="829">
        <f t="shared" si="60"/>
        <v>9400</v>
      </c>
    </row>
    <row r="1090" spans="1:7" s="435" customFormat="1" ht="37.5" x14ac:dyDescent="0.3">
      <c r="A1090" s="1848"/>
      <c r="B1090" s="1118" t="s">
        <v>1240</v>
      </c>
      <c r="C1090" s="1439">
        <v>65000</v>
      </c>
      <c r="D1090" s="1439">
        <v>65000</v>
      </c>
      <c r="E1090" s="1439"/>
      <c r="F1090" s="829">
        <f t="shared" si="62"/>
        <v>0</v>
      </c>
      <c r="G1090" s="829">
        <f t="shared" si="60"/>
        <v>130000</v>
      </c>
    </row>
    <row r="1091" spans="1:7" s="435" customFormat="1" ht="75" x14ac:dyDescent="0.3">
      <c r="A1091" s="1848"/>
      <c r="B1091" s="1118" t="s">
        <v>1241</v>
      </c>
      <c r="C1091" s="1439">
        <v>50000</v>
      </c>
      <c r="D1091" s="1439">
        <v>35000</v>
      </c>
      <c r="E1091" s="1439">
        <v>15000</v>
      </c>
      <c r="F1091" s="829">
        <f t="shared" si="62"/>
        <v>0</v>
      </c>
      <c r="G1091" s="829">
        <f t="shared" si="60"/>
        <v>100000</v>
      </c>
    </row>
    <row r="1092" spans="1:7" s="435" customFormat="1" ht="37.5" x14ac:dyDescent="0.3">
      <c r="A1092" s="1848"/>
      <c r="B1092" s="862" t="s">
        <v>1549</v>
      </c>
      <c r="C1092" s="565">
        <v>40000</v>
      </c>
      <c r="D1092" s="565"/>
      <c r="E1092" s="586">
        <v>40000</v>
      </c>
      <c r="F1092" s="829">
        <f t="shared" si="62"/>
        <v>0</v>
      </c>
      <c r="G1092" s="829">
        <f t="shared" si="60"/>
        <v>80000</v>
      </c>
    </row>
    <row r="1093" spans="1:7" s="435" customFormat="1" ht="37.5" x14ac:dyDescent="0.3">
      <c r="A1093" s="1848"/>
      <c r="B1093" s="862" t="s">
        <v>1706</v>
      </c>
      <c r="C1093" s="1457">
        <v>50000</v>
      </c>
      <c r="D1093" s="1457"/>
      <c r="E1093" s="1457">
        <v>50000</v>
      </c>
      <c r="F1093" s="829">
        <f t="shared" si="62"/>
        <v>0</v>
      </c>
      <c r="G1093" s="829">
        <f t="shared" si="60"/>
        <v>100000</v>
      </c>
    </row>
    <row r="1094" spans="1:7" s="435" customFormat="1" ht="18" hidden="1" customHeight="1" x14ac:dyDescent="0.3">
      <c r="A1094" s="1848"/>
      <c r="B1094" s="862"/>
      <c r="C1094" s="1438">
        <f>SUM(D1094:E1094)</f>
        <v>0</v>
      </c>
      <c r="D1094" s="1439"/>
      <c r="E1094" s="1440"/>
      <c r="F1094" s="829">
        <f t="shared" si="62"/>
        <v>0</v>
      </c>
      <c r="G1094" s="829">
        <f t="shared" si="60"/>
        <v>0</v>
      </c>
    </row>
    <row r="1095" spans="1:7" s="435" customFormat="1" ht="18" hidden="1" customHeight="1" x14ac:dyDescent="0.3">
      <c r="A1095" s="1848"/>
      <c r="B1095" s="862"/>
      <c r="C1095" s="1438">
        <f>SUM(D1095:E1095)</f>
        <v>0</v>
      </c>
      <c r="D1095" s="1439"/>
      <c r="E1095" s="1440"/>
      <c r="F1095" s="829">
        <f t="shared" si="62"/>
        <v>0</v>
      </c>
      <c r="G1095" s="829">
        <f t="shared" si="60"/>
        <v>0</v>
      </c>
    </row>
    <row r="1096" spans="1:7" s="435" customFormat="1" ht="18" hidden="1" customHeight="1" x14ac:dyDescent="0.3">
      <c r="A1096" s="1848"/>
      <c r="B1096" s="862"/>
      <c r="C1096" s="1438">
        <f>SUM(D1096:E1096)</f>
        <v>0</v>
      </c>
      <c r="D1096" s="1439"/>
      <c r="E1096" s="1440"/>
      <c r="F1096" s="829">
        <f t="shared" si="62"/>
        <v>0</v>
      </c>
      <c r="G1096" s="829">
        <f t="shared" si="60"/>
        <v>0</v>
      </c>
    </row>
    <row r="1097" spans="1:7" s="435" customFormat="1" ht="18" hidden="1" customHeight="1" x14ac:dyDescent="0.3">
      <c r="A1097" s="1848"/>
      <c r="B1097" s="862"/>
      <c r="C1097" s="1438">
        <f>SUM(D1097:E1097)</f>
        <v>0</v>
      </c>
      <c r="D1097" s="1439"/>
      <c r="E1097" s="1440"/>
      <c r="F1097" s="829">
        <f t="shared" si="62"/>
        <v>0</v>
      </c>
      <c r="G1097" s="829">
        <f t="shared" ref="G1097:G1160" si="65">SUM(C1097:E1097)</f>
        <v>0</v>
      </c>
    </row>
    <row r="1098" spans="1:7" hidden="1" x14ac:dyDescent="0.3">
      <c r="A1098" s="1848"/>
      <c r="B1098" s="862"/>
      <c r="C1098" s="1438">
        <f>SUM(D1098:E1098)</f>
        <v>0</v>
      </c>
      <c r="D1098" s="1439"/>
      <c r="E1098" s="1440"/>
      <c r="F1098" s="829">
        <f t="shared" si="62"/>
        <v>0</v>
      </c>
      <c r="G1098" s="829">
        <f t="shared" si="65"/>
        <v>0</v>
      </c>
    </row>
    <row r="1099" spans="1:7" x14ac:dyDescent="0.3">
      <c r="A1099" s="1848"/>
      <c r="B1099" s="862" t="s">
        <v>740</v>
      </c>
      <c r="C1099" s="1438">
        <f>SUM(C1089:C1098)</f>
        <v>209700</v>
      </c>
      <c r="D1099" s="1438">
        <f>SUM(D1089:D1098)</f>
        <v>104700</v>
      </c>
      <c r="E1099" s="1438">
        <f>SUM(E1089:E1098)</f>
        <v>105000</v>
      </c>
      <c r="F1099" s="829">
        <f t="shared" si="62"/>
        <v>0</v>
      </c>
      <c r="G1099" s="829">
        <f t="shared" si="65"/>
        <v>419400</v>
      </c>
    </row>
    <row r="1100" spans="1:7" ht="75" x14ac:dyDescent="0.3">
      <c r="A1100" s="1848" t="s">
        <v>1137</v>
      </c>
      <c r="B1100" s="507" t="s">
        <v>617</v>
      </c>
      <c r="C1100" s="1460">
        <f>2339500+1480</f>
        <v>2340980</v>
      </c>
      <c r="D1100" s="1460">
        <f>2339500+1480</f>
        <v>2340980</v>
      </c>
      <c r="E1100" s="1469"/>
      <c r="F1100" s="829">
        <f t="shared" si="62"/>
        <v>0</v>
      </c>
      <c r="G1100" s="829">
        <f t="shared" si="65"/>
        <v>4681960</v>
      </c>
    </row>
    <row r="1101" spans="1:7" ht="112.5" x14ac:dyDescent="0.3">
      <c r="A1101" s="1848"/>
      <c r="B1101" s="506" t="s">
        <v>618</v>
      </c>
      <c r="C1101" s="1460">
        <v>200000</v>
      </c>
      <c r="D1101" s="1460"/>
      <c r="E1101" s="1469">
        <v>200000</v>
      </c>
      <c r="F1101" s="829">
        <f t="shared" si="62"/>
        <v>0</v>
      </c>
      <c r="G1101" s="829">
        <f t="shared" si="65"/>
        <v>400000</v>
      </c>
    </row>
    <row r="1102" spans="1:7" ht="75" x14ac:dyDescent="0.3">
      <c r="A1102" s="1848"/>
      <c r="B1102" s="1118" t="s">
        <v>1265</v>
      </c>
      <c r="C1102" s="1439">
        <v>200000</v>
      </c>
      <c r="D1102" s="1439">
        <v>200000</v>
      </c>
      <c r="E1102" s="1439"/>
      <c r="F1102" s="829">
        <f t="shared" si="62"/>
        <v>0</v>
      </c>
      <c r="G1102" s="829">
        <f t="shared" si="65"/>
        <v>400000</v>
      </c>
    </row>
    <row r="1103" spans="1:7" s="435" customFormat="1" ht="56.25" x14ac:dyDescent="0.3">
      <c r="A1103" s="1848"/>
      <c r="B1103" s="1118" t="s">
        <v>1266</v>
      </c>
      <c r="C1103" s="1439">
        <f>500000</f>
        <v>500000</v>
      </c>
      <c r="D1103" s="1439"/>
      <c r="E1103" s="1439">
        <f>500000</f>
        <v>500000</v>
      </c>
      <c r="F1103" s="829">
        <f t="shared" si="62"/>
        <v>0</v>
      </c>
      <c r="G1103" s="829">
        <f t="shared" si="65"/>
        <v>1000000</v>
      </c>
    </row>
    <row r="1104" spans="1:7" s="435" customFormat="1" x14ac:dyDescent="0.3">
      <c r="A1104" s="1848"/>
      <c r="B1104" s="1118" t="s">
        <v>1267</v>
      </c>
      <c r="C1104" s="1439">
        <v>200000</v>
      </c>
      <c r="D1104" s="1439">
        <v>200000</v>
      </c>
      <c r="E1104" s="1439"/>
      <c r="F1104" s="829">
        <f t="shared" si="62"/>
        <v>0</v>
      </c>
      <c r="G1104" s="829">
        <f t="shared" si="65"/>
        <v>400000</v>
      </c>
    </row>
    <row r="1105" spans="1:7" s="435" customFormat="1" ht="56.25" x14ac:dyDescent="0.3">
      <c r="A1105" s="1848"/>
      <c r="B1105" s="1118" t="s">
        <v>1266</v>
      </c>
      <c r="C1105" s="1439">
        <v>500000</v>
      </c>
      <c r="D1105" s="1439"/>
      <c r="E1105" s="1439">
        <v>500000</v>
      </c>
      <c r="F1105" s="829">
        <f t="shared" si="62"/>
        <v>0</v>
      </c>
      <c r="G1105" s="829">
        <f t="shared" si="65"/>
        <v>1000000</v>
      </c>
    </row>
    <row r="1106" spans="1:7" s="435" customFormat="1" ht="56.25" x14ac:dyDescent="0.3">
      <c r="A1106" s="1848"/>
      <c r="B1106" s="506" t="s">
        <v>1536</v>
      </c>
      <c r="C1106" s="565">
        <v>100000</v>
      </c>
      <c r="D1106" s="1464"/>
      <c r="E1106" s="586">
        <v>100000</v>
      </c>
      <c r="F1106" s="829">
        <f t="shared" si="62"/>
        <v>0</v>
      </c>
      <c r="G1106" s="829">
        <f t="shared" si="65"/>
        <v>200000</v>
      </c>
    </row>
    <row r="1107" spans="1:7" s="435" customFormat="1" ht="75" x14ac:dyDescent="0.3">
      <c r="A1107" s="1848"/>
      <c r="B1107" s="506" t="s">
        <v>2276</v>
      </c>
      <c r="C1107" s="565">
        <v>40000</v>
      </c>
      <c r="D1107" s="1647">
        <v>40000</v>
      </c>
      <c r="E1107" s="586"/>
      <c r="F1107" s="829">
        <f t="shared" si="62"/>
        <v>0</v>
      </c>
      <c r="G1107" s="829">
        <f t="shared" si="65"/>
        <v>80000</v>
      </c>
    </row>
    <row r="1108" spans="1:7" s="435" customFormat="1" ht="37.5" x14ac:dyDescent="0.3">
      <c r="A1108" s="1848"/>
      <c r="B1108" s="1118" t="s">
        <v>1268</v>
      </c>
      <c r="C1108" s="1439">
        <f>150000-60000</f>
        <v>90000</v>
      </c>
      <c r="D1108" s="1439"/>
      <c r="E1108" s="1439">
        <f>150000-60000</f>
        <v>90000</v>
      </c>
      <c r="F1108" s="829">
        <f t="shared" si="62"/>
        <v>0</v>
      </c>
      <c r="G1108" s="829">
        <f t="shared" si="65"/>
        <v>180000</v>
      </c>
    </row>
    <row r="1109" spans="1:7" s="435" customFormat="1" ht="56.25" x14ac:dyDescent="0.3">
      <c r="A1109" s="1848"/>
      <c r="B1109" s="506" t="s">
        <v>1883</v>
      </c>
      <c r="C1109" s="882">
        <v>60000</v>
      </c>
      <c r="D1109" s="1648"/>
      <c r="E1109" s="883">
        <v>60000</v>
      </c>
      <c r="F1109" s="829">
        <f t="shared" si="62"/>
        <v>0</v>
      </c>
      <c r="G1109" s="829">
        <f t="shared" si="65"/>
        <v>120000</v>
      </c>
    </row>
    <row r="1110" spans="1:7" s="435" customFormat="1" ht="56.25" x14ac:dyDescent="0.3">
      <c r="A1110" s="1848"/>
      <c r="B1110" s="1121" t="s">
        <v>1266</v>
      </c>
      <c r="C1110" s="1440">
        <v>300000</v>
      </c>
      <c r="D1110" s="1622"/>
      <c r="E1110" s="1440">
        <v>300000</v>
      </c>
      <c r="F1110" s="829">
        <f t="shared" si="62"/>
        <v>0</v>
      </c>
      <c r="G1110" s="829">
        <f t="shared" si="65"/>
        <v>600000</v>
      </c>
    </row>
    <row r="1111" spans="1:7" s="435" customFormat="1" x14ac:dyDescent="0.3">
      <c r="A1111" s="1848"/>
      <c r="B1111" s="1122" t="s">
        <v>1269</v>
      </c>
      <c r="C1111" s="1440">
        <v>150000</v>
      </c>
      <c r="D1111" s="1622">
        <f>150000-150000</f>
        <v>0</v>
      </c>
      <c r="E1111" s="1440">
        <v>150000</v>
      </c>
      <c r="F1111" s="829">
        <f t="shared" si="62"/>
        <v>0</v>
      </c>
      <c r="G1111" s="829">
        <f t="shared" si="65"/>
        <v>300000</v>
      </c>
    </row>
    <row r="1112" spans="1:7" s="435" customFormat="1" ht="56.25" x14ac:dyDescent="0.3">
      <c r="A1112" s="1848"/>
      <c r="B1112" s="1121" t="s">
        <v>1270</v>
      </c>
      <c r="C1112" s="1622">
        <f>400000-68270</f>
        <v>331730</v>
      </c>
      <c r="D1112" s="1622"/>
      <c r="E1112" s="1440">
        <f>400000-68270</f>
        <v>331730</v>
      </c>
      <c r="F1112" s="829">
        <f t="shared" si="62"/>
        <v>0</v>
      </c>
      <c r="G1112" s="829">
        <f t="shared" si="65"/>
        <v>663460</v>
      </c>
    </row>
    <row r="1113" spans="1:7" s="435" customFormat="1" ht="56.25" x14ac:dyDescent="0.3">
      <c r="A1113" s="1848"/>
      <c r="B1113" s="506" t="s">
        <v>1953</v>
      </c>
      <c r="C1113" s="882">
        <f>D1113+E1113</f>
        <v>68270</v>
      </c>
      <c r="D1113" s="882"/>
      <c r="E1113" s="882">
        <v>68270</v>
      </c>
      <c r="F1113" s="829">
        <f>E1113+D1113-C1113</f>
        <v>0</v>
      </c>
      <c r="G1113" s="829">
        <f t="shared" si="65"/>
        <v>136540</v>
      </c>
    </row>
    <row r="1114" spans="1:7" s="435" customFormat="1" ht="93.75" x14ac:dyDescent="0.3">
      <c r="A1114" s="1848"/>
      <c r="B1114" s="862" t="s">
        <v>1523</v>
      </c>
      <c r="C1114" s="1117">
        <v>36200</v>
      </c>
      <c r="D1114" s="1117"/>
      <c r="E1114" s="1117">
        <v>36200</v>
      </c>
      <c r="F1114" s="829">
        <f t="shared" si="62"/>
        <v>0</v>
      </c>
      <c r="G1114" s="829">
        <f t="shared" si="65"/>
        <v>72400</v>
      </c>
    </row>
    <row r="1115" spans="1:7" s="435" customFormat="1" ht="56.25" x14ac:dyDescent="0.3">
      <c r="A1115" s="1848"/>
      <c r="B1115" s="862" t="s">
        <v>1524</v>
      </c>
      <c r="C1115" s="565">
        <v>10000</v>
      </c>
      <c r="D1115" s="565">
        <v>10000</v>
      </c>
      <c r="E1115" s="586"/>
      <c r="F1115" s="829">
        <f t="shared" si="62"/>
        <v>0</v>
      </c>
      <c r="G1115" s="829">
        <f t="shared" si="65"/>
        <v>20000</v>
      </c>
    </row>
    <row r="1116" spans="1:7" s="435" customFormat="1" ht="56.25" x14ac:dyDescent="0.3">
      <c r="A1116" s="1848"/>
      <c r="B1116" s="862" t="s">
        <v>1525</v>
      </c>
      <c r="C1116" s="565">
        <v>26200</v>
      </c>
      <c r="D1116" s="565">
        <v>26200</v>
      </c>
      <c r="E1116" s="586"/>
      <c r="F1116" s="829">
        <f t="shared" si="62"/>
        <v>0</v>
      </c>
      <c r="G1116" s="829">
        <f t="shared" si="65"/>
        <v>52400</v>
      </c>
    </row>
    <row r="1117" spans="1:7" s="435" customFormat="1" ht="112.5" x14ac:dyDescent="0.3">
      <c r="A1117" s="1848"/>
      <c r="B1117" s="862" t="s">
        <v>1534</v>
      </c>
      <c r="C1117" s="1438">
        <f>SUM(D1117:E1117)</f>
        <v>155820</v>
      </c>
      <c r="D1117" s="1438">
        <v>155820</v>
      </c>
      <c r="E1117" s="1440"/>
      <c r="F1117" s="829">
        <f t="shared" si="62"/>
        <v>0</v>
      </c>
      <c r="G1117" s="829">
        <f t="shared" si="65"/>
        <v>311640</v>
      </c>
    </row>
    <row r="1118" spans="1:7" s="435" customFormat="1" ht="112.5" x14ac:dyDescent="0.3">
      <c r="A1118" s="1848"/>
      <c r="B1118" s="862" t="s">
        <v>1707</v>
      </c>
      <c r="C1118" s="1457">
        <v>50000</v>
      </c>
      <c r="D1118" s="1457">
        <v>50000</v>
      </c>
      <c r="E1118" s="1457"/>
      <c r="F1118" s="829">
        <f t="shared" si="62"/>
        <v>0</v>
      </c>
      <c r="G1118" s="829">
        <f t="shared" si="65"/>
        <v>100000</v>
      </c>
    </row>
    <row r="1119" spans="1:7" s="435" customFormat="1" ht="56.25" x14ac:dyDescent="0.3">
      <c r="A1119" s="1848"/>
      <c r="B1119" s="506" t="s">
        <v>1708</v>
      </c>
      <c r="C1119" s="565">
        <v>50000</v>
      </c>
      <c r="D1119" s="565">
        <v>50000</v>
      </c>
      <c r="E1119" s="565"/>
      <c r="F1119" s="829">
        <f t="shared" si="62"/>
        <v>0</v>
      </c>
      <c r="G1119" s="829">
        <f t="shared" si="65"/>
        <v>100000</v>
      </c>
    </row>
    <row r="1120" spans="1:7" s="435" customFormat="1" ht="37.5" x14ac:dyDescent="0.3">
      <c r="A1120" s="1848"/>
      <c r="B1120" s="862" t="s">
        <v>1709</v>
      </c>
      <c r="C1120" s="1457">
        <v>200000</v>
      </c>
      <c r="D1120" s="1457">
        <v>200000</v>
      </c>
      <c r="E1120" s="1457"/>
      <c r="F1120" s="829">
        <f t="shared" si="62"/>
        <v>0</v>
      </c>
      <c r="G1120" s="829">
        <f t="shared" si="65"/>
        <v>400000</v>
      </c>
    </row>
    <row r="1121" spans="1:7" s="435" customFormat="1" ht="93.75" x14ac:dyDescent="0.3">
      <c r="A1121" s="1848"/>
      <c r="B1121" s="862" t="s">
        <v>1710</v>
      </c>
      <c r="C1121" s="1457">
        <v>100000</v>
      </c>
      <c r="D1121" s="1457">
        <v>100000</v>
      </c>
      <c r="E1121" s="1457"/>
      <c r="F1121" s="829">
        <f t="shared" si="62"/>
        <v>0</v>
      </c>
      <c r="G1121" s="829">
        <f t="shared" si="65"/>
        <v>200000</v>
      </c>
    </row>
    <row r="1122" spans="1:7" s="435" customFormat="1" ht="37.5" x14ac:dyDescent="0.3">
      <c r="A1122" s="1848"/>
      <c r="B1122" s="1632" t="s">
        <v>1711</v>
      </c>
      <c r="C1122" s="1457">
        <v>50000</v>
      </c>
      <c r="D1122" s="1457">
        <v>50000</v>
      </c>
      <c r="E1122" s="1457"/>
      <c r="F1122" s="829">
        <f t="shared" si="62"/>
        <v>0</v>
      </c>
      <c r="G1122" s="829">
        <f t="shared" si="65"/>
        <v>100000</v>
      </c>
    </row>
    <row r="1123" spans="1:7" s="435" customFormat="1" ht="37.5" x14ac:dyDescent="0.3">
      <c r="A1123" s="1848"/>
      <c r="B1123" s="506" t="s">
        <v>1712</v>
      </c>
      <c r="C1123" s="1457">
        <v>163800</v>
      </c>
      <c r="D1123" s="1457">
        <v>163800</v>
      </c>
      <c r="E1123" s="1629"/>
      <c r="F1123" s="829">
        <f t="shared" si="62"/>
        <v>0</v>
      </c>
      <c r="G1123" s="829">
        <f t="shared" si="65"/>
        <v>327600</v>
      </c>
    </row>
    <row r="1124" spans="1:7" s="435" customFormat="1" ht="75" x14ac:dyDescent="0.3">
      <c r="A1124" s="1848"/>
      <c r="B1124" s="862" t="s">
        <v>1897</v>
      </c>
      <c r="C1124" s="882">
        <v>180000</v>
      </c>
      <c r="D1124" s="882"/>
      <c r="E1124" s="883">
        <v>180000</v>
      </c>
      <c r="F1124" s="829">
        <f t="shared" si="62"/>
        <v>0</v>
      </c>
      <c r="G1124" s="829">
        <f t="shared" si="65"/>
        <v>360000</v>
      </c>
    </row>
    <row r="1125" spans="1:7" s="435" customFormat="1" ht="93.75" x14ac:dyDescent="0.3">
      <c r="A1125" s="1848"/>
      <c r="B1125" s="506" t="s">
        <v>2052</v>
      </c>
      <c r="C1125" s="1631">
        <v>108956</v>
      </c>
      <c r="D1125" s="1631">
        <v>108956</v>
      </c>
      <c r="E1125" s="1631"/>
      <c r="F1125" s="829"/>
      <c r="G1125" s="829">
        <f t="shared" si="65"/>
        <v>217912</v>
      </c>
    </row>
    <row r="1126" spans="1:7" s="435" customFormat="1" ht="93.75" x14ac:dyDescent="0.3">
      <c r="A1126" s="1848"/>
      <c r="B1126" s="506" t="s">
        <v>2052</v>
      </c>
      <c r="C1126" s="1631">
        <v>58956</v>
      </c>
      <c r="D1126" s="1631">
        <v>31606</v>
      </c>
      <c r="E1126" s="1631">
        <v>27350</v>
      </c>
      <c r="F1126" s="829"/>
      <c r="G1126" s="829">
        <f t="shared" si="65"/>
        <v>117912</v>
      </c>
    </row>
    <row r="1127" spans="1:7" s="435" customFormat="1" ht="75" x14ac:dyDescent="0.3">
      <c r="A1127" s="1848"/>
      <c r="B1127" s="506" t="s">
        <v>2053</v>
      </c>
      <c r="C1127" s="1631">
        <v>63000</v>
      </c>
      <c r="D1127" s="1631">
        <v>63000</v>
      </c>
      <c r="E1127" s="1631"/>
      <c r="F1127" s="829"/>
      <c r="G1127" s="829">
        <f t="shared" si="65"/>
        <v>126000</v>
      </c>
    </row>
    <row r="1128" spans="1:7" s="435" customFormat="1" ht="75" x14ac:dyDescent="0.3">
      <c r="A1128" s="1848"/>
      <c r="B1128" s="862" t="s">
        <v>2054</v>
      </c>
      <c r="C1128" s="1627">
        <v>108956</v>
      </c>
      <c r="D1128" s="1627"/>
      <c r="E1128" s="1627">
        <v>108956</v>
      </c>
      <c r="F1128" s="829"/>
      <c r="G1128" s="829">
        <f t="shared" si="65"/>
        <v>217912</v>
      </c>
    </row>
    <row r="1129" spans="1:7" s="435" customFormat="1" ht="112.5" x14ac:dyDescent="0.3">
      <c r="A1129" s="1848"/>
      <c r="B1129" s="506" t="s">
        <v>2055</v>
      </c>
      <c r="C1129" s="1631">
        <v>50000</v>
      </c>
      <c r="D1129" s="1627">
        <v>50000</v>
      </c>
      <c r="E1129" s="1627"/>
      <c r="F1129" s="829"/>
      <c r="G1129" s="829">
        <f t="shared" si="65"/>
        <v>100000</v>
      </c>
    </row>
    <row r="1130" spans="1:7" s="435" customFormat="1" ht="93.75" x14ac:dyDescent="0.3">
      <c r="A1130" s="1848"/>
      <c r="B1130" s="862" t="s">
        <v>2052</v>
      </c>
      <c r="C1130" s="1627">
        <v>108956</v>
      </c>
      <c r="D1130" s="1627">
        <v>108956</v>
      </c>
      <c r="E1130" s="1627"/>
      <c r="F1130" s="829"/>
      <c r="G1130" s="829">
        <f t="shared" si="65"/>
        <v>217912</v>
      </c>
    </row>
    <row r="1131" spans="1:7" s="435" customFormat="1" ht="93.75" x14ac:dyDescent="0.3">
      <c r="A1131" s="1848"/>
      <c r="B1131" s="862" t="s">
        <v>2056</v>
      </c>
      <c r="C1131" s="1627">
        <v>45000</v>
      </c>
      <c r="D1131" s="1627">
        <v>45000</v>
      </c>
      <c r="E1131" s="1627"/>
      <c r="F1131" s="829"/>
      <c r="G1131" s="829">
        <f t="shared" si="65"/>
        <v>90000</v>
      </c>
    </row>
    <row r="1132" spans="1:7" s="435" customFormat="1" ht="56.25" x14ac:dyDescent="0.3">
      <c r="A1132" s="1848"/>
      <c r="B1132" s="862" t="s">
        <v>2057</v>
      </c>
      <c r="C1132" s="1627">
        <v>15000</v>
      </c>
      <c r="D1132" s="1627">
        <v>15000</v>
      </c>
      <c r="E1132" s="1627"/>
      <c r="F1132" s="829"/>
      <c r="G1132" s="829">
        <f t="shared" si="65"/>
        <v>30000</v>
      </c>
    </row>
    <row r="1133" spans="1:7" s="435" customFormat="1" ht="131.25" x14ac:dyDescent="0.3">
      <c r="A1133" s="1848"/>
      <c r="B1133" s="862" t="s">
        <v>2058</v>
      </c>
      <c r="C1133" s="1627">
        <v>15000</v>
      </c>
      <c r="D1133" s="1627">
        <v>15000</v>
      </c>
      <c r="E1133" s="1627"/>
      <c r="F1133" s="829"/>
      <c r="G1133" s="829">
        <f t="shared" si="65"/>
        <v>30000</v>
      </c>
    </row>
    <row r="1134" spans="1:7" s="435" customFormat="1" ht="93.75" x14ac:dyDescent="0.3">
      <c r="A1134" s="1848"/>
      <c r="B1134" s="862" t="s">
        <v>2059</v>
      </c>
      <c r="C1134" s="1627">
        <v>100000</v>
      </c>
      <c r="D1134" s="1627"/>
      <c r="E1134" s="1627">
        <v>100000</v>
      </c>
      <c r="F1134" s="829"/>
      <c r="G1134" s="829">
        <f t="shared" si="65"/>
        <v>200000</v>
      </c>
    </row>
    <row r="1135" spans="1:7" s="435" customFormat="1" ht="93.75" x14ac:dyDescent="0.3">
      <c r="A1135" s="1848"/>
      <c r="B1135" s="862" t="s">
        <v>2060</v>
      </c>
      <c r="C1135" s="1627">
        <v>20000</v>
      </c>
      <c r="D1135" s="1627">
        <v>20000</v>
      </c>
      <c r="E1135" s="1627"/>
      <c r="F1135" s="829"/>
      <c r="G1135" s="829">
        <f t="shared" si="65"/>
        <v>40000</v>
      </c>
    </row>
    <row r="1136" spans="1:7" s="435" customFormat="1" ht="56.25" x14ac:dyDescent="0.3">
      <c r="A1136" s="1848"/>
      <c r="B1136" s="1628" t="s">
        <v>2197</v>
      </c>
      <c r="C1136" s="1625">
        <v>36200</v>
      </c>
      <c r="D1136" s="1625">
        <v>36200</v>
      </c>
      <c r="E1136" s="1625"/>
      <c r="F1136" s="829"/>
      <c r="G1136" s="829">
        <f t="shared" si="65"/>
        <v>72400</v>
      </c>
    </row>
    <row r="1137" spans="1:7" s="435" customFormat="1" ht="56.25" x14ac:dyDescent="0.3">
      <c r="A1137" s="1848"/>
      <c r="B1137" s="1628" t="s">
        <v>2198</v>
      </c>
      <c r="C1137" s="1625">
        <v>90000</v>
      </c>
      <c r="D1137" s="1625">
        <v>90000</v>
      </c>
      <c r="E1137" s="1625"/>
      <c r="F1137" s="829"/>
      <c r="G1137" s="829">
        <f t="shared" si="65"/>
        <v>180000</v>
      </c>
    </row>
    <row r="1138" spans="1:7" s="435" customFormat="1" ht="56.25" x14ac:dyDescent="0.3">
      <c r="A1138" s="1848"/>
      <c r="B1138" s="506" t="s">
        <v>2198</v>
      </c>
      <c r="C1138" s="1649">
        <v>191044</v>
      </c>
      <c r="D1138" s="1625">
        <v>28486</v>
      </c>
      <c r="E1138" s="1625">
        <v>162558</v>
      </c>
      <c r="F1138" s="829"/>
      <c r="G1138" s="829">
        <f t="shared" si="65"/>
        <v>382088</v>
      </c>
    </row>
    <row r="1139" spans="1:7" s="435" customFormat="1" ht="56.25" x14ac:dyDescent="0.3">
      <c r="A1139" s="1848"/>
      <c r="B1139" s="1623" t="s">
        <v>2198</v>
      </c>
      <c r="C1139" s="1625">
        <v>191044</v>
      </c>
      <c r="D1139" s="1625">
        <v>191044</v>
      </c>
      <c r="E1139" s="1625"/>
      <c r="F1139" s="829"/>
      <c r="G1139" s="829">
        <f t="shared" si="65"/>
        <v>382088</v>
      </c>
    </row>
    <row r="1140" spans="1:7" s="435" customFormat="1" ht="56.25" x14ac:dyDescent="0.3">
      <c r="A1140" s="1848"/>
      <c r="B1140" s="1628" t="s">
        <v>2199</v>
      </c>
      <c r="C1140" s="1625">
        <v>50000</v>
      </c>
      <c r="D1140" s="1625">
        <v>50000</v>
      </c>
      <c r="E1140" s="1625"/>
      <c r="F1140" s="829"/>
      <c r="G1140" s="829">
        <f t="shared" si="65"/>
        <v>100000</v>
      </c>
    </row>
    <row r="1141" spans="1:7" s="435" customFormat="1" ht="56.25" x14ac:dyDescent="0.3">
      <c r="A1141" s="1848"/>
      <c r="B1141" s="1628" t="s">
        <v>2200</v>
      </c>
      <c r="C1141" s="1625">
        <v>35000</v>
      </c>
      <c r="D1141" s="1625">
        <v>35000</v>
      </c>
      <c r="E1141" s="1625"/>
      <c r="F1141" s="829"/>
      <c r="G1141" s="829">
        <f t="shared" si="65"/>
        <v>70000</v>
      </c>
    </row>
    <row r="1142" spans="1:7" s="435" customFormat="1" ht="37.5" x14ac:dyDescent="0.3">
      <c r="A1142" s="1848"/>
      <c r="B1142" s="1623" t="s">
        <v>2201</v>
      </c>
      <c r="C1142" s="1625">
        <v>43283</v>
      </c>
      <c r="D1142" s="1625"/>
      <c r="E1142" s="1625">
        <v>43283</v>
      </c>
      <c r="F1142" s="829"/>
      <c r="G1142" s="829">
        <f t="shared" si="65"/>
        <v>86566</v>
      </c>
    </row>
    <row r="1143" spans="1:7" s="435" customFormat="1" ht="131.25" x14ac:dyDescent="0.3">
      <c r="A1143" s="1848"/>
      <c r="B1143" s="1628" t="s">
        <v>2202</v>
      </c>
      <c r="C1143" s="1625">
        <v>191044</v>
      </c>
      <c r="D1143" s="1625">
        <v>191044</v>
      </c>
      <c r="E1143" s="1625"/>
      <c r="F1143" s="829"/>
      <c r="G1143" s="829">
        <f t="shared" si="65"/>
        <v>382088</v>
      </c>
    </row>
    <row r="1144" spans="1:7" s="435" customFormat="1" ht="112.5" x14ac:dyDescent="0.3">
      <c r="A1144" s="1848"/>
      <c r="B1144" s="1612" t="s">
        <v>2203</v>
      </c>
      <c r="C1144" s="1625">
        <v>17244</v>
      </c>
      <c r="D1144" s="1625"/>
      <c r="E1144" s="1625">
        <v>17244</v>
      </c>
      <c r="F1144" s="829"/>
      <c r="G1144" s="829">
        <f t="shared" si="65"/>
        <v>34488</v>
      </c>
    </row>
    <row r="1145" spans="1:7" s="435" customFormat="1" ht="37.5" x14ac:dyDescent="0.3">
      <c r="A1145" s="1848"/>
      <c r="B1145" s="1612" t="s">
        <v>2256</v>
      </c>
      <c r="C1145" s="1625">
        <v>30000</v>
      </c>
      <c r="D1145" s="1625">
        <v>30000</v>
      </c>
      <c r="E1145" s="1625"/>
      <c r="F1145" s="829"/>
      <c r="G1145" s="829">
        <f t="shared" si="65"/>
        <v>60000</v>
      </c>
    </row>
    <row r="1146" spans="1:7" s="435" customFormat="1" ht="112.5" x14ac:dyDescent="0.3">
      <c r="A1146" s="1848"/>
      <c r="B1146" s="1612" t="s">
        <v>2203</v>
      </c>
      <c r="C1146" s="1625">
        <v>97244</v>
      </c>
      <c r="D1146" s="1625"/>
      <c r="E1146" s="1625">
        <v>97244</v>
      </c>
      <c r="F1146" s="829"/>
      <c r="G1146" s="829">
        <f t="shared" si="65"/>
        <v>194488</v>
      </c>
    </row>
    <row r="1147" spans="1:7" s="435" customFormat="1" ht="112.5" x14ac:dyDescent="0.3">
      <c r="A1147" s="1848"/>
      <c r="B1147" s="1612" t="s">
        <v>2203</v>
      </c>
      <c r="C1147" s="1625">
        <v>24068</v>
      </c>
      <c r="D1147" s="1625"/>
      <c r="E1147" s="1625">
        <v>24068</v>
      </c>
      <c r="F1147" s="829"/>
      <c r="G1147" s="829">
        <f t="shared" si="65"/>
        <v>48136</v>
      </c>
    </row>
    <row r="1148" spans="1:7" s="435" customFormat="1" ht="112.5" x14ac:dyDescent="0.3">
      <c r="A1148" s="1848"/>
      <c r="B1148" s="1612" t="s">
        <v>2203</v>
      </c>
      <c r="C1148" s="1625">
        <v>6200</v>
      </c>
      <c r="D1148" s="1625"/>
      <c r="E1148" s="1625">
        <v>6200</v>
      </c>
      <c r="F1148" s="829"/>
      <c r="G1148" s="829">
        <f t="shared" si="65"/>
        <v>12400</v>
      </c>
    </row>
    <row r="1149" spans="1:7" s="435" customFormat="1" ht="75" x14ac:dyDescent="0.3">
      <c r="A1149" s="1848"/>
      <c r="B1149" s="1650" t="s">
        <v>2257</v>
      </c>
      <c r="C1149" s="1625">
        <v>42000</v>
      </c>
      <c r="D1149" s="1625"/>
      <c r="E1149" s="1625">
        <v>42000</v>
      </c>
      <c r="F1149" s="829"/>
      <c r="G1149" s="829">
        <f t="shared" si="65"/>
        <v>84000</v>
      </c>
    </row>
    <row r="1150" spans="1:7" s="435" customFormat="1" hidden="1" x14ac:dyDescent="0.3">
      <c r="A1150" s="1848"/>
      <c r="B1150" s="994"/>
      <c r="C1150" s="1437"/>
      <c r="D1150" s="1437"/>
      <c r="E1150" s="820"/>
      <c r="F1150" s="829"/>
      <c r="G1150" s="829">
        <f t="shared" si="65"/>
        <v>0</v>
      </c>
    </row>
    <row r="1151" spans="1:7" s="435" customFormat="1" hidden="1" x14ac:dyDescent="0.3">
      <c r="A1151" s="1848"/>
      <c r="B1151" s="994"/>
      <c r="C1151" s="1437"/>
      <c r="D1151" s="1437"/>
      <c r="E1151" s="820"/>
      <c r="F1151" s="829"/>
      <c r="G1151" s="829">
        <f t="shared" si="65"/>
        <v>0</v>
      </c>
    </row>
    <row r="1152" spans="1:7" s="435" customFormat="1" hidden="1" x14ac:dyDescent="0.3">
      <c r="A1152" s="1848"/>
      <c r="B1152" s="994"/>
      <c r="C1152" s="1437"/>
      <c r="D1152" s="1437"/>
      <c r="E1152" s="820"/>
      <c r="F1152" s="829"/>
      <c r="G1152" s="829">
        <f t="shared" si="65"/>
        <v>0</v>
      </c>
    </row>
    <row r="1153" spans="1:7" s="435" customFormat="1" hidden="1" x14ac:dyDescent="0.3">
      <c r="A1153" s="1848"/>
      <c r="B1153" s="994"/>
      <c r="C1153" s="1437"/>
      <c r="D1153" s="1437"/>
      <c r="E1153" s="820"/>
      <c r="F1153" s="829"/>
      <c r="G1153" s="829">
        <f t="shared" si="65"/>
        <v>0</v>
      </c>
    </row>
    <row r="1154" spans="1:7" s="435" customFormat="1" x14ac:dyDescent="0.3">
      <c r="A1154" s="1848"/>
      <c r="B1154" s="862" t="s">
        <v>740</v>
      </c>
      <c r="C1154" s="1438">
        <f>SUM(C1100:C1153)</f>
        <v>7841195</v>
      </c>
      <c r="D1154" s="1438">
        <f>SUM(D1100:D1153)</f>
        <v>4696092</v>
      </c>
      <c r="E1154" s="1438">
        <f>SUM(E1100:E1153)</f>
        <v>3145103</v>
      </c>
      <c r="F1154" s="829">
        <f t="shared" ref="F1154:F1198" si="66">E1154+D1154-C1154</f>
        <v>0</v>
      </c>
      <c r="G1154" s="829">
        <f t="shared" si="65"/>
        <v>15682390</v>
      </c>
    </row>
    <row r="1155" spans="1:7" s="435" customFormat="1" ht="75" x14ac:dyDescent="0.3">
      <c r="A1155" s="1848" t="s">
        <v>1139</v>
      </c>
      <c r="B1155" s="507" t="s">
        <v>617</v>
      </c>
      <c r="C1155" s="1460">
        <v>189700</v>
      </c>
      <c r="D1155" s="1460">
        <v>189700</v>
      </c>
      <c r="E1155" s="1469"/>
      <c r="F1155" s="829">
        <f t="shared" si="66"/>
        <v>0</v>
      </c>
      <c r="G1155" s="829">
        <f t="shared" si="65"/>
        <v>379400</v>
      </c>
    </row>
    <row r="1156" spans="1:7" s="435" customFormat="1" ht="56.25" x14ac:dyDescent="0.3">
      <c r="A1156" s="1848"/>
      <c r="B1156" s="1118" t="s">
        <v>1291</v>
      </c>
      <c r="C1156" s="1439">
        <v>500000</v>
      </c>
      <c r="D1156" s="1439"/>
      <c r="E1156" s="1439">
        <v>500000</v>
      </c>
      <c r="F1156" s="829">
        <f t="shared" si="66"/>
        <v>0</v>
      </c>
      <c r="G1156" s="829">
        <f t="shared" si="65"/>
        <v>1000000</v>
      </c>
    </row>
    <row r="1157" spans="1:7" s="435" customFormat="1" ht="56.25" x14ac:dyDescent="0.3">
      <c r="A1157" s="1848"/>
      <c r="B1157" s="1118" t="s">
        <v>1291</v>
      </c>
      <c r="C1157" s="1439">
        <v>500000</v>
      </c>
      <c r="D1157" s="1439"/>
      <c r="E1157" s="1439">
        <v>500000</v>
      </c>
      <c r="F1157" s="829">
        <f t="shared" si="66"/>
        <v>0</v>
      </c>
      <c r="G1157" s="829">
        <f t="shared" si="65"/>
        <v>1000000</v>
      </c>
    </row>
    <row r="1158" spans="1:7" s="435" customFormat="1" ht="93.75" x14ac:dyDescent="0.3">
      <c r="A1158" s="1848"/>
      <c r="B1158" s="1121" t="s">
        <v>1292</v>
      </c>
      <c r="C1158" s="1440">
        <v>40000</v>
      </c>
      <c r="D1158" s="1622"/>
      <c r="E1158" s="1440">
        <v>40000</v>
      </c>
      <c r="F1158" s="829">
        <f t="shared" si="66"/>
        <v>0</v>
      </c>
      <c r="G1158" s="829">
        <f t="shared" si="65"/>
        <v>80000</v>
      </c>
    </row>
    <row r="1159" spans="1:7" s="435" customFormat="1" ht="37.5" x14ac:dyDescent="0.3">
      <c r="A1159" s="1848"/>
      <c r="B1159" s="1630" t="s">
        <v>1570</v>
      </c>
      <c r="C1159" s="565">
        <v>36200</v>
      </c>
      <c r="D1159" s="565"/>
      <c r="E1159" s="586">
        <v>36200</v>
      </c>
      <c r="F1159" s="829">
        <f t="shared" si="66"/>
        <v>0</v>
      </c>
      <c r="G1159" s="829">
        <f t="shared" si="65"/>
        <v>72400</v>
      </c>
    </row>
    <row r="1160" spans="1:7" s="435" customFormat="1" ht="112.5" x14ac:dyDescent="0.3">
      <c r="A1160" s="1848"/>
      <c r="B1160" s="862" t="s">
        <v>1534</v>
      </c>
      <c r="C1160" s="1438">
        <f>SUM(D1160:E1160)</f>
        <v>142140</v>
      </c>
      <c r="D1160" s="1438">
        <v>142140</v>
      </c>
      <c r="E1160" s="1440"/>
      <c r="F1160" s="829">
        <f t="shared" si="66"/>
        <v>0</v>
      </c>
      <c r="G1160" s="829">
        <f t="shared" si="65"/>
        <v>284280</v>
      </c>
    </row>
    <row r="1161" spans="1:7" s="435" customFormat="1" ht="37.5" x14ac:dyDescent="0.3">
      <c r="A1161" s="1848"/>
      <c r="B1161" s="506" t="s">
        <v>1713</v>
      </c>
      <c r="C1161" s="565">
        <v>250000</v>
      </c>
      <c r="D1161" s="565">
        <v>250000</v>
      </c>
      <c r="E1161" s="565"/>
      <c r="F1161" s="829">
        <f t="shared" si="66"/>
        <v>0</v>
      </c>
      <c r="G1161" s="829">
        <f t="shared" ref="G1161:G1224" si="67">SUM(C1161:E1161)</f>
        <v>500000</v>
      </c>
    </row>
    <row r="1162" spans="1:7" s="435" customFormat="1" ht="56.25" x14ac:dyDescent="0.3">
      <c r="A1162" s="1848"/>
      <c r="B1162" s="506" t="s">
        <v>1714</v>
      </c>
      <c r="C1162" s="565">
        <v>50000</v>
      </c>
      <c r="D1162" s="1457"/>
      <c r="E1162" s="1457">
        <v>50000</v>
      </c>
      <c r="F1162" s="829">
        <f t="shared" si="66"/>
        <v>0</v>
      </c>
      <c r="G1162" s="829">
        <f t="shared" si="67"/>
        <v>100000</v>
      </c>
    </row>
    <row r="1163" spans="1:7" s="435" customFormat="1" ht="150" x14ac:dyDescent="0.3">
      <c r="A1163" s="1848"/>
      <c r="B1163" s="506" t="s">
        <v>1715</v>
      </c>
      <c r="C1163" s="1457">
        <v>300000</v>
      </c>
      <c r="D1163" s="1629"/>
      <c r="E1163" s="1457">
        <v>300000</v>
      </c>
      <c r="F1163" s="829">
        <f t="shared" si="66"/>
        <v>0</v>
      </c>
      <c r="G1163" s="829">
        <f t="shared" si="67"/>
        <v>600000</v>
      </c>
    </row>
    <row r="1164" spans="1:7" s="435" customFormat="1" ht="168.75" x14ac:dyDescent="0.3">
      <c r="A1164" s="1848"/>
      <c r="B1164" s="507" t="s">
        <v>1917</v>
      </c>
      <c r="C1164" s="1439">
        <f>SUM(D1164:E1164)</f>
        <v>27000</v>
      </c>
      <c r="D1164" s="1439">
        <v>27000</v>
      </c>
      <c r="E1164" s="1440"/>
      <c r="F1164" s="829">
        <f t="shared" si="66"/>
        <v>0</v>
      </c>
      <c r="G1164" s="829">
        <f t="shared" si="67"/>
        <v>54000</v>
      </c>
    </row>
    <row r="1165" spans="1:7" s="435" customFormat="1" ht="75" x14ac:dyDescent="0.3">
      <c r="A1165" s="1848"/>
      <c r="B1165" s="862" t="s">
        <v>2061</v>
      </c>
      <c r="C1165" s="1627">
        <v>108956</v>
      </c>
      <c r="D1165" s="1627"/>
      <c r="E1165" s="1627">
        <v>108956</v>
      </c>
      <c r="F1165" s="829"/>
      <c r="G1165" s="829">
        <f t="shared" si="67"/>
        <v>217912</v>
      </c>
    </row>
    <row r="1166" spans="1:7" s="435" customFormat="1" ht="93.75" x14ac:dyDescent="0.3">
      <c r="A1166" s="1848"/>
      <c r="B1166" s="862" t="s">
        <v>2062</v>
      </c>
      <c r="C1166" s="1627">
        <v>108956</v>
      </c>
      <c r="D1166" s="1627"/>
      <c r="E1166" s="1627">
        <v>108956</v>
      </c>
      <c r="F1166" s="829"/>
      <c r="G1166" s="829">
        <f t="shared" si="67"/>
        <v>217912</v>
      </c>
    </row>
    <row r="1167" spans="1:7" s="435" customFormat="1" ht="75" x14ac:dyDescent="0.3">
      <c r="A1167" s="1848"/>
      <c r="B1167" s="862" t="s">
        <v>2063</v>
      </c>
      <c r="C1167" s="1627">
        <v>20000</v>
      </c>
      <c r="D1167" s="1627">
        <v>20000</v>
      </c>
      <c r="E1167" s="1627"/>
      <c r="F1167" s="829"/>
      <c r="G1167" s="829">
        <f t="shared" si="67"/>
        <v>40000</v>
      </c>
    </row>
    <row r="1168" spans="1:7" s="435" customFormat="1" ht="93.75" x14ac:dyDescent="0.3">
      <c r="A1168" s="1848"/>
      <c r="B1168" s="862" t="s">
        <v>2064</v>
      </c>
      <c r="C1168" s="1627">
        <v>20000</v>
      </c>
      <c r="D1168" s="1627">
        <v>20000</v>
      </c>
      <c r="E1168" s="1627"/>
      <c r="F1168" s="829"/>
      <c r="G1168" s="829">
        <f t="shared" si="67"/>
        <v>40000</v>
      </c>
    </row>
    <row r="1169" spans="1:7" s="435" customFormat="1" ht="37.5" x14ac:dyDescent="0.3">
      <c r="A1169" s="1848"/>
      <c r="B1169" s="1623" t="s">
        <v>2204</v>
      </c>
      <c r="C1169" s="1625">
        <v>36200</v>
      </c>
      <c r="D1169" s="1625">
        <v>36200</v>
      </c>
      <c r="E1169" s="1625"/>
      <c r="F1169" s="829"/>
      <c r="G1169" s="829">
        <f t="shared" si="67"/>
        <v>72400</v>
      </c>
    </row>
    <row r="1170" spans="1:7" s="435" customFormat="1" ht="37.5" x14ac:dyDescent="0.3">
      <c r="A1170" s="1848"/>
      <c r="B1170" s="1623" t="s">
        <v>2205</v>
      </c>
      <c r="C1170" s="1624">
        <v>30000</v>
      </c>
      <c r="D1170" s="1625"/>
      <c r="E1170" s="1625">
        <v>30000</v>
      </c>
      <c r="F1170" s="829"/>
      <c r="G1170" s="829">
        <f t="shared" si="67"/>
        <v>60000</v>
      </c>
    </row>
    <row r="1171" spans="1:7" s="435" customFormat="1" ht="37.5" x14ac:dyDescent="0.3">
      <c r="A1171" s="1848"/>
      <c r="B1171" s="1623" t="s">
        <v>2206</v>
      </c>
      <c r="C1171" s="1624">
        <v>20000</v>
      </c>
      <c r="D1171" s="1625"/>
      <c r="E1171" s="1625">
        <v>20000</v>
      </c>
      <c r="F1171" s="829"/>
      <c r="G1171" s="829">
        <f t="shared" si="67"/>
        <v>40000</v>
      </c>
    </row>
    <row r="1172" spans="1:7" s="435" customFormat="1" ht="75" x14ac:dyDescent="0.3">
      <c r="A1172" s="1848"/>
      <c r="B1172" s="1623" t="s">
        <v>2207</v>
      </c>
      <c r="C1172" s="1624">
        <v>11044</v>
      </c>
      <c r="D1172" s="1625">
        <v>11044</v>
      </c>
      <c r="E1172" s="1625"/>
      <c r="F1172" s="829"/>
      <c r="G1172" s="829">
        <f t="shared" si="67"/>
        <v>22088</v>
      </c>
    </row>
    <row r="1173" spans="1:7" s="435" customFormat="1" ht="75" x14ac:dyDescent="0.3">
      <c r="A1173" s="1848"/>
      <c r="B1173" s="1623" t="s">
        <v>2208</v>
      </c>
      <c r="C1173" s="1624">
        <v>10000</v>
      </c>
      <c r="D1173" s="1625">
        <v>10000</v>
      </c>
      <c r="E1173" s="1625"/>
      <c r="F1173" s="829"/>
      <c r="G1173" s="829">
        <f t="shared" si="67"/>
        <v>20000</v>
      </c>
    </row>
    <row r="1174" spans="1:7" s="435" customFormat="1" ht="37.5" x14ac:dyDescent="0.3">
      <c r="A1174" s="1848"/>
      <c r="B1174" s="1623" t="s">
        <v>2209</v>
      </c>
      <c r="C1174" s="1624">
        <v>10000</v>
      </c>
      <c r="D1174" s="1625">
        <v>10000</v>
      </c>
      <c r="E1174" s="1625"/>
      <c r="F1174" s="829"/>
      <c r="G1174" s="829">
        <f t="shared" si="67"/>
        <v>20000</v>
      </c>
    </row>
    <row r="1175" spans="1:7" s="435" customFormat="1" ht="56.25" x14ac:dyDescent="0.3">
      <c r="A1175" s="1848"/>
      <c r="B1175" s="1623" t="s">
        <v>2210</v>
      </c>
      <c r="C1175" s="1624">
        <v>10000</v>
      </c>
      <c r="D1175" s="1625">
        <v>10000</v>
      </c>
      <c r="E1175" s="1625"/>
      <c r="F1175" s="829"/>
      <c r="G1175" s="829">
        <f t="shared" si="67"/>
        <v>20000</v>
      </c>
    </row>
    <row r="1176" spans="1:7" s="435" customFormat="1" ht="75" x14ac:dyDescent="0.3">
      <c r="A1176" s="1848"/>
      <c r="B1176" s="1623" t="s">
        <v>2211</v>
      </c>
      <c r="C1176" s="1624">
        <v>20000</v>
      </c>
      <c r="D1176" s="1625"/>
      <c r="E1176" s="1625">
        <v>20000</v>
      </c>
      <c r="F1176" s="829"/>
      <c r="G1176" s="829">
        <f t="shared" si="67"/>
        <v>40000</v>
      </c>
    </row>
    <row r="1177" spans="1:7" s="435" customFormat="1" ht="75" x14ac:dyDescent="0.3">
      <c r="A1177" s="1848"/>
      <c r="B1177" s="1651" t="s">
        <v>2212</v>
      </c>
      <c r="C1177" s="1631">
        <v>49900</v>
      </c>
      <c r="D1177" s="1631">
        <v>49900</v>
      </c>
      <c r="E1177" s="1625"/>
      <c r="F1177" s="829"/>
      <c r="G1177" s="829">
        <f t="shared" si="67"/>
        <v>99800</v>
      </c>
    </row>
    <row r="1178" spans="1:7" s="435" customFormat="1" ht="56.25" x14ac:dyDescent="0.3">
      <c r="A1178" s="1848"/>
      <c r="B1178" s="1628" t="s">
        <v>2213</v>
      </c>
      <c r="C1178" s="1625">
        <v>50000</v>
      </c>
      <c r="D1178" s="1625"/>
      <c r="E1178" s="1625">
        <v>50000</v>
      </c>
      <c r="F1178" s="829"/>
      <c r="G1178" s="829">
        <f t="shared" si="67"/>
        <v>100000</v>
      </c>
    </row>
    <row r="1179" spans="1:7" s="435" customFormat="1" hidden="1" x14ac:dyDescent="0.3">
      <c r="A1179" s="1848"/>
      <c r="B1179" s="1367"/>
      <c r="C1179" s="1468"/>
      <c r="D1179" s="1468"/>
      <c r="E1179" s="1445"/>
      <c r="F1179" s="829"/>
      <c r="G1179" s="829">
        <f t="shared" si="67"/>
        <v>0</v>
      </c>
    </row>
    <row r="1180" spans="1:7" s="435" customFormat="1" hidden="1" x14ac:dyDescent="0.3">
      <c r="A1180" s="1848"/>
      <c r="B1180" s="1367"/>
      <c r="C1180" s="1468"/>
      <c r="D1180" s="1468"/>
      <c r="E1180" s="1445"/>
      <c r="F1180" s="829"/>
      <c r="G1180" s="829">
        <f t="shared" si="67"/>
        <v>0</v>
      </c>
    </row>
    <row r="1181" spans="1:7" s="435" customFormat="1" hidden="1" x14ac:dyDescent="0.3">
      <c r="A1181" s="1848"/>
      <c r="B1181" s="1367"/>
      <c r="C1181" s="1468"/>
      <c r="D1181" s="1468"/>
      <c r="E1181" s="1445"/>
      <c r="F1181" s="829"/>
      <c r="G1181" s="829">
        <f t="shared" si="67"/>
        <v>0</v>
      </c>
    </row>
    <row r="1182" spans="1:7" s="435" customFormat="1" hidden="1" x14ac:dyDescent="0.3">
      <c r="A1182" s="1848"/>
      <c r="B1182" s="1367"/>
      <c r="C1182" s="1468"/>
      <c r="D1182" s="1468"/>
      <c r="E1182" s="1445"/>
      <c r="F1182" s="829"/>
      <c r="G1182" s="829">
        <f t="shared" si="67"/>
        <v>0</v>
      </c>
    </row>
    <row r="1183" spans="1:7" s="435" customFormat="1" x14ac:dyDescent="0.3">
      <c r="A1183" s="1848"/>
      <c r="B1183" s="862" t="s">
        <v>740</v>
      </c>
      <c r="C1183" s="1438">
        <f>SUM(C1155:C1182)</f>
        <v>2540096</v>
      </c>
      <c r="D1183" s="1438">
        <f>SUM(D1155:D1182)</f>
        <v>775984</v>
      </c>
      <c r="E1183" s="1438">
        <f>SUM(E1155:E1182)</f>
        <v>1764112</v>
      </c>
      <c r="F1183" s="829">
        <f t="shared" si="66"/>
        <v>0</v>
      </c>
      <c r="G1183" s="829">
        <f t="shared" si="67"/>
        <v>5080192</v>
      </c>
    </row>
    <row r="1184" spans="1:7" s="435" customFormat="1" ht="75" x14ac:dyDescent="0.3">
      <c r="A1184" s="1848" t="s">
        <v>1141</v>
      </c>
      <c r="B1184" s="507" t="s">
        <v>617</v>
      </c>
      <c r="C1184" s="1460">
        <v>21000</v>
      </c>
      <c r="D1184" s="1460">
        <v>21000</v>
      </c>
      <c r="E1184" s="1469"/>
      <c r="F1184" s="829">
        <f t="shared" si="66"/>
        <v>0</v>
      </c>
      <c r="G1184" s="829">
        <f t="shared" si="67"/>
        <v>42000</v>
      </c>
    </row>
    <row r="1185" spans="1:7" s="435" customFormat="1" ht="75" x14ac:dyDescent="0.3">
      <c r="A1185" s="1848"/>
      <c r="B1185" s="506" t="s">
        <v>1569</v>
      </c>
      <c r="C1185" s="565">
        <v>500000</v>
      </c>
      <c r="D1185" s="1457"/>
      <c r="E1185" s="586">
        <v>500000</v>
      </c>
      <c r="F1185" s="829">
        <f t="shared" si="66"/>
        <v>0</v>
      </c>
      <c r="G1185" s="829">
        <f t="shared" si="67"/>
        <v>1000000</v>
      </c>
    </row>
    <row r="1186" spans="1:7" s="435" customFormat="1" ht="93.75" x14ac:dyDescent="0.3">
      <c r="A1186" s="1848"/>
      <c r="B1186" s="506" t="s">
        <v>1969</v>
      </c>
      <c r="C1186" s="565">
        <f>D1186+E1186</f>
        <v>500000</v>
      </c>
      <c r="D1186" s="565">
        <v>500000</v>
      </c>
      <c r="E1186" s="565"/>
      <c r="F1186" s="829">
        <f t="shared" si="66"/>
        <v>0</v>
      </c>
      <c r="G1186" s="829">
        <f t="shared" si="67"/>
        <v>1000000</v>
      </c>
    </row>
    <row r="1187" spans="1:7" s="435" customFormat="1" ht="75" x14ac:dyDescent="0.3">
      <c r="A1187" s="1848"/>
      <c r="B1187" s="1122" t="s">
        <v>1298</v>
      </c>
      <c r="C1187" s="1626">
        <v>140000</v>
      </c>
      <c r="D1187" s="1635"/>
      <c r="E1187" s="1635">
        <v>140000</v>
      </c>
      <c r="F1187" s="829">
        <f t="shared" si="66"/>
        <v>0</v>
      </c>
      <c r="G1187" s="829">
        <f t="shared" si="67"/>
        <v>280000</v>
      </c>
    </row>
    <row r="1188" spans="1:7" s="435" customFormat="1" ht="75" x14ac:dyDescent="0.3">
      <c r="A1188" s="1848"/>
      <c r="B1188" s="1121" t="s">
        <v>1299</v>
      </c>
      <c r="C1188" s="1622">
        <v>150000</v>
      </c>
      <c r="D1188" s="1440"/>
      <c r="E1188" s="1440">
        <v>150000</v>
      </c>
      <c r="F1188" s="829">
        <f t="shared" si="66"/>
        <v>0</v>
      </c>
      <c r="G1188" s="829">
        <f t="shared" si="67"/>
        <v>300000</v>
      </c>
    </row>
    <row r="1189" spans="1:7" s="435" customFormat="1" ht="75" x14ac:dyDescent="0.3">
      <c r="A1189" s="1848"/>
      <c r="B1189" s="862" t="s">
        <v>1526</v>
      </c>
      <c r="C1189" s="565">
        <v>13800</v>
      </c>
      <c r="D1189" s="565"/>
      <c r="E1189" s="586">
        <v>13800</v>
      </c>
      <c r="F1189" s="829">
        <f t="shared" si="66"/>
        <v>0</v>
      </c>
      <c r="G1189" s="829">
        <f t="shared" si="67"/>
        <v>27600</v>
      </c>
    </row>
    <row r="1190" spans="1:7" s="435" customFormat="1" ht="56.25" x14ac:dyDescent="0.3">
      <c r="A1190" s="1848"/>
      <c r="B1190" s="1630" t="s">
        <v>1527</v>
      </c>
      <c r="C1190" s="565">
        <v>36000</v>
      </c>
      <c r="D1190" s="565">
        <v>36000</v>
      </c>
      <c r="E1190" s="586"/>
      <c r="F1190" s="829">
        <f t="shared" si="66"/>
        <v>0</v>
      </c>
      <c r="G1190" s="829">
        <f t="shared" si="67"/>
        <v>72000</v>
      </c>
    </row>
    <row r="1191" spans="1:7" s="435" customFormat="1" ht="75" x14ac:dyDescent="0.3">
      <c r="A1191" s="1848"/>
      <c r="B1191" s="862" t="s">
        <v>1526</v>
      </c>
      <c r="C1191" s="565">
        <v>36200</v>
      </c>
      <c r="D1191" s="565"/>
      <c r="E1191" s="586">
        <v>36200</v>
      </c>
      <c r="F1191" s="829">
        <f t="shared" si="66"/>
        <v>0</v>
      </c>
      <c r="G1191" s="829">
        <f t="shared" si="67"/>
        <v>72400</v>
      </c>
    </row>
    <row r="1192" spans="1:7" s="435" customFormat="1" ht="37.5" x14ac:dyDescent="0.3">
      <c r="A1192" s="1848"/>
      <c r="B1192" s="862" t="s">
        <v>1716</v>
      </c>
      <c r="C1192" s="1457">
        <v>199600</v>
      </c>
      <c r="D1192" s="1457"/>
      <c r="E1192" s="1457">
        <v>199600</v>
      </c>
      <c r="F1192" s="829">
        <f t="shared" si="66"/>
        <v>0</v>
      </c>
      <c r="G1192" s="829">
        <f t="shared" si="67"/>
        <v>399200</v>
      </c>
    </row>
    <row r="1193" spans="1:7" s="435" customFormat="1" ht="93.75" x14ac:dyDescent="0.3">
      <c r="A1193" s="1848"/>
      <c r="B1193" s="862" t="s">
        <v>1717</v>
      </c>
      <c r="C1193" s="1457">
        <v>200000</v>
      </c>
      <c r="D1193" s="1457"/>
      <c r="E1193" s="1457">
        <v>200000</v>
      </c>
      <c r="F1193" s="829">
        <f t="shared" si="66"/>
        <v>0</v>
      </c>
      <c r="G1193" s="829">
        <f t="shared" si="67"/>
        <v>400000</v>
      </c>
    </row>
    <row r="1194" spans="1:7" s="435" customFormat="1" ht="56.25" x14ac:dyDescent="0.3">
      <c r="A1194" s="1848"/>
      <c r="B1194" s="506" t="s">
        <v>1718</v>
      </c>
      <c r="C1194" s="1457">
        <v>100000</v>
      </c>
      <c r="D1194" s="1457">
        <v>100000</v>
      </c>
      <c r="E1194" s="1629"/>
      <c r="F1194" s="829">
        <f t="shared" si="66"/>
        <v>0</v>
      </c>
      <c r="G1194" s="829">
        <f t="shared" si="67"/>
        <v>200000</v>
      </c>
    </row>
    <row r="1195" spans="1:7" s="435" customFormat="1" ht="168.75" x14ac:dyDescent="0.3">
      <c r="A1195" s="1848"/>
      <c r="B1195" s="507" t="s">
        <v>1917</v>
      </c>
      <c r="C1195" s="1439">
        <f>SUM(D1195:E1195)</f>
        <v>15000</v>
      </c>
      <c r="D1195" s="1439">
        <v>15000</v>
      </c>
      <c r="E1195" s="1440"/>
      <c r="F1195" s="829">
        <f t="shared" si="66"/>
        <v>0</v>
      </c>
      <c r="G1195" s="829">
        <f t="shared" si="67"/>
        <v>30000</v>
      </c>
    </row>
    <row r="1196" spans="1:7" s="435" customFormat="1" ht="75" x14ac:dyDescent="0.3">
      <c r="A1196" s="1848"/>
      <c r="B1196" s="506" t="s">
        <v>1967</v>
      </c>
      <c r="C1196" s="882">
        <v>15000</v>
      </c>
      <c r="D1196" s="882"/>
      <c r="E1196" s="882">
        <v>15000</v>
      </c>
      <c r="F1196" s="829">
        <f t="shared" si="66"/>
        <v>0</v>
      </c>
      <c r="G1196" s="829">
        <f t="shared" si="67"/>
        <v>30000</v>
      </c>
    </row>
    <row r="1197" spans="1:7" s="435" customFormat="1" ht="93.75" x14ac:dyDescent="0.3">
      <c r="A1197" s="1848"/>
      <c r="B1197" s="506" t="s">
        <v>1948</v>
      </c>
      <c r="C1197" s="882">
        <v>10000</v>
      </c>
      <c r="D1197" s="882"/>
      <c r="E1197" s="882">
        <v>10000</v>
      </c>
      <c r="F1197" s="829">
        <f t="shared" si="66"/>
        <v>0</v>
      </c>
      <c r="G1197" s="829">
        <f t="shared" si="67"/>
        <v>20000</v>
      </c>
    </row>
    <row r="1198" spans="1:7" s="435" customFormat="1" ht="56.25" x14ac:dyDescent="0.3">
      <c r="A1198" s="1848"/>
      <c r="B1198" s="506" t="s">
        <v>1949</v>
      </c>
      <c r="C1198" s="882">
        <v>25000</v>
      </c>
      <c r="D1198" s="882">
        <v>25000</v>
      </c>
      <c r="E1198" s="883"/>
      <c r="F1198" s="829">
        <f t="shared" si="66"/>
        <v>0</v>
      </c>
      <c r="G1198" s="829">
        <f t="shared" si="67"/>
        <v>50000</v>
      </c>
    </row>
    <row r="1199" spans="1:7" s="435" customFormat="1" ht="112.5" x14ac:dyDescent="0.3">
      <c r="A1199" s="1848"/>
      <c r="B1199" s="506" t="s">
        <v>1970</v>
      </c>
      <c r="C1199" s="565">
        <v>300000</v>
      </c>
      <c r="D1199" s="565"/>
      <c r="E1199" s="586">
        <v>300000</v>
      </c>
      <c r="F1199" s="829"/>
      <c r="G1199" s="829">
        <f t="shared" si="67"/>
        <v>600000</v>
      </c>
    </row>
    <row r="1200" spans="1:7" s="435" customFormat="1" ht="112.5" x14ac:dyDescent="0.3">
      <c r="A1200" s="1848"/>
      <c r="B1200" s="506" t="s">
        <v>1984</v>
      </c>
      <c r="C1200" s="565">
        <v>100000</v>
      </c>
      <c r="D1200" s="565">
        <v>100000</v>
      </c>
      <c r="E1200" s="565"/>
      <c r="F1200" s="829"/>
      <c r="G1200" s="829">
        <f t="shared" si="67"/>
        <v>200000</v>
      </c>
    </row>
    <row r="1201" spans="1:7" s="435" customFormat="1" ht="93.75" x14ac:dyDescent="0.3">
      <c r="A1201" s="1848"/>
      <c r="B1201" s="506" t="s">
        <v>2076</v>
      </c>
      <c r="C1201" s="565">
        <v>13000</v>
      </c>
      <c r="D1201" s="565">
        <v>13000</v>
      </c>
      <c r="E1201" s="565"/>
      <c r="F1201" s="829">
        <f t="shared" ref="F1201:F1207" si="68">E1201+D1201-C1201</f>
        <v>0</v>
      </c>
      <c r="G1201" s="829">
        <f t="shared" si="67"/>
        <v>26000</v>
      </c>
    </row>
    <row r="1202" spans="1:7" s="435" customFormat="1" ht="150" x14ac:dyDescent="0.3">
      <c r="A1202" s="1848"/>
      <c r="B1202" s="506" t="s">
        <v>1983</v>
      </c>
      <c r="C1202" s="565">
        <v>194500</v>
      </c>
      <c r="D1202" s="565"/>
      <c r="E1202" s="586">
        <v>194500</v>
      </c>
      <c r="F1202" s="829">
        <f t="shared" si="68"/>
        <v>0</v>
      </c>
      <c r="G1202" s="829">
        <f t="shared" si="67"/>
        <v>389000</v>
      </c>
    </row>
    <row r="1203" spans="1:7" s="435" customFormat="1" ht="37.5" x14ac:dyDescent="0.3">
      <c r="A1203" s="1848"/>
      <c r="B1203" s="506" t="s">
        <v>1985</v>
      </c>
      <c r="C1203" s="565">
        <v>49800</v>
      </c>
      <c r="D1203" s="565">
        <v>49800</v>
      </c>
      <c r="E1203" s="586"/>
      <c r="F1203" s="829">
        <f t="shared" si="68"/>
        <v>0</v>
      </c>
      <c r="G1203" s="829">
        <f t="shared" si="67"/>
        <v>99600</v>
      </c>
    </row>
    <row r="1204" spans="1:7" s="435" customFormat="1" ht="37.5" x14ac:dyDescent="0.3">
      <c r="A1204" s="1848"/>
      <c r="B1204" s="506" t="s">
        <v>1986</v>
      </c>
      <c r="C1204" s="565">
        <v>49850</v>
      </c>
      <c r="D1204" s="565">
        <v>49850</v>
      </c>
      <c r="E1204" s="586"/>
      <c r="F1204" s="829">
        <f t="shared" si="68"/>
        <v>0</v>
      </c>
      <c r="G1204" s="829">
        <f t="shared" si="67"/>
        <v>99700</v>
      </c>
    </row>
    <row r="1205" spans="1:7" s="435" customFormat="1" ht="37.5" x14ac:dyDescent="0.3">
      <c r="A1205" s="1848"/>
      <c r="B1205" s="506" t="s">
        <v>1987</v>
      </c>
      <c r="C1205" s="565">
        <v>49950</v>
      </c>
      <c r="D1205" s="565">
        <v>49950</v>
      </c>
      <c r="E1205" s="586"/>
      <c r="F1205" s="829">
        <f t="shared" si="68"/>
        <v>0</v>
      </c>
      <c r="G1205" s="829">
        <f t="shared" si="67"/>
        <v>99900</v>
      </c>
    </row>
    <row r="1206" spans="1:7" s="435" customFormat="1" ht="37.5" x14ac:dyDescent="0.3">
      <c r="A1206" s="1848"/>
      <c r="B1206" s="506" t="s">
        <v>1988</v>
      </c>
      <c r="C1206" s="565">
        <v>49800</v>
      </c>
      <c r="D1206" s="565">
        <v>49800</v>
      </c>
      <c r="E1206" s="586"/>
      <c r="F1206" s="829">
        <f t="shared" si="68"/>
        <v>0</v>
      </c>
      <c r="G1206" s="829">
        <f t="shared" si="67"/>
        <v>99600</v>
      </c>
    </row>
    <row r="1207" spans="1:7" s="435" customFormat="1" ht="37.5" x14ac:dyDescent="0.3">
      <c r="A1207" s="1848"/>
      <c r="B1207" s="506" t="s">
        <v>1989</v>
      </c>
      <c r="C1207" s="565">
        <v>49900</v>
      </c>
      <c r="D1207" s="565">
        <v>49900</v>
      </c>
      <c r="E1207" s="586"/>
      <c r="F1207" s="829">
        <f t="shared" si="68"/>
        <v>0</v>
      </c>
      <c r="G1207" s="829">
        <f t="shared" si="67"/>
        <v>99800</v>
      </c>
    </row>
    <row r="1208" spans="1:7" s="435" customFormat="1" ht="168.75" x14ac:dyDescent="0.3">
      <c r="A1208" s="1848"/>
      <c r="B1208" s="506" t="s">
        <v>2065</v>
      </c>
      <c r="C1208" s="1631">
        <v>108956</v>
      </c>
      <c r="D1208" s="1631"/>
      <c r="E1208" s="1631">
        <v>108956</v>
      </c>
      <c r="F1208" s="829"/>
      <c r="G1208" s="829">
        <f t="shared" si="67"/>
        <v>217912</v>
      </c>
    </row>
    <row r="1209" spans="1:7" s="435" customFormat="1" ht="168.75" x14ac:dyDescent="0.3">
      <c r="A1209" s="1848"/>
      <c r="B1209" s="506" t="s">
        <v>2065</v>
      </c>
      <c r="C1209" s="1631">
        <v>108956</v>
      </c>
      <c r="D1209" s="1631"/>
      <c r="E1209" s="1631">
        <v>108956</v>
      </c>
      <c r="F1209" s="829"/>
      <c r="G1209" s="829">
        <f t="shared" si="67"/>
        <v>217912</v>
      </c>
    </row>
    <row r="1210" spans="1:7" s="435" customFormat="1" ht="168.75" x14ac:dyDescent="0.3">
      <c r="A1210" s="1848"/>
      <c r="B1210" s="862" t="s">
        <v>2066</v>
      </c>
      <c r="C1210" s="1627">
        <v>106900</v>
      </c>
      <c r="D1210" s="1627">
        <v>76900</v>
      </c>
      <c r="E1210" s="1627">
        <v>30000</v>
      </c>
      <c r="F1210" s="829"/>
      <c r="G1210" s="829">
        <f t="shared" si="67"/>
        <v>213800</v>
      </c>
    </row>
    <row r="1211" spans="1:7" s="435" customFormat="1" ht="168.75" x14ac:dyDescent="0.3">
      <c r="A1211" s="1848"/>
      <c r="B1211" s="1623" t="s">
        <v>2214</v>
      </c>
      <c r="C1211" s="1625">
        <v>191044</v>
      </c>
      <c r="D1211" s="1625"/>
      <c r="E1211" s="1625">
        <v>191044</v>
      </c>
      <c r="F1211" s="829"/>
      <c r="G1211" s="829">
        <f t="shared" si="67"/>
        <v>382088</v>
      </c>
    </row>
    <row r="1212" spans="1:7" s="435" customFormat="1" ht="37.5" x14ac:dyDescent="0.3">
      <c r="A1212" s="1848"/>
      <c r="B1212" s="1628" t="s">
        <v>2215</v>
      </c>
      <c r="C1212" s="1652">
        <v>48500</v>
      </c>
      <c r="D1212" s="1625">
        <v>48500</v>
      </c>
      <c r="E1212" s="1625"/>
      <c r="F1212" s="829"/>
      <c r="G1212" s="829">
        <f t="shared" si="67"/>
        <v>97000</v>
      </c>
    </row>
    <row r="1213" spans="1:7" s="435" customFormat="1" ht="37.5" x14ac:dyDescent="0.3">
      <c r="A1213" s="1848"/>
      <c r="B1213" s="1628" t="s">
        <v>2216</v>
      </c>
      <c r="C1213" s="1652">
        <v>47000</v>
      </c>
      <c r="D1213" s="1625">
        <v>47000</v>
      </c>
      <c r="E1213" s="1625"/>
      <c r="F1213" s="829"/>
      <c r="G1213" s="829">
        <f t="shared" si="67"/>
        <v>94000</v>
      </c>
    </row>
    <row r="1214" spans="1:7" s="435" customFormat="1" ht="56.25" x14ac:dyDescent="0.3">
      <c r="A1214" s="1848"/>
      <c r="B1214" s="1628" t="s">
        <v>2217</v>
      </c>
      <c r="C1214" s="1652">
        <v>48500</v>
      </c>
      <c r="D1214" s="1625">
        <v>48500</v>
      </c>
      <c r="E1214" s="1625"/>
      <c r="F1214" s="829"/>
      <c r="G1214" s="829">
        <f t="shared" si="67"/>
        <v>97000</v>
      </c>
    </row>
    <row r="1215" spans="1:7" s="435" customFormat="1" ht="37.5" x14ac:dyDescent="0.3">
      <c r="A1215" s="1848"/>
      <c r="B1215" s="1628" t="s">
        <v>2218</v>
      </c>
      <c r="C1215" s="1652">
        <v>47000</v>
      </c>
      <c r="D1215" s="1625">
        <v>47000</v>
      </c>
      <c r="E1215" s="1625"/>
      <c r="F1215" s="829"/>
      <c r="G1215" s="829">
        <f t="shared" si="67"/>
        <v>94000</v>
      </c>
    </row>
    <row r="1216" spans="1:7" s="435" customFormat="1" ht="75" x14ac:dyDescent="0.3">
      <c r="A1216" s="1848"/>
      <c r="B1216" s="1623" t="s">
        <v>2219</v>
      </c>
      <c r="C1216" s="1653">
        <v>41000</v>
      </c>
      <c r="D1216" s="1625">
        <v>9000</v>
      </c>
      <c r="E1216" s="1558">
        <v>32000</v>
      </c>
      <c r="F1216" s="829"/>
      <c r="G1216" s="829">
        <f t="shared" si="67"/>
        <v>82000</v>
      </c>
    </row>
    <row r="1217" spans="1:7" s="435" customFormat="1" ht="56.25" x14ac:dyDescent="0.3">
      <c r="A1217" s="1848"/>
      <c r="B1217" s="1623" t="s">
        <v>2220</v>
      </c>
      <c r="C1217" s="1653">
        <v>150000</v>
      </c>
      <c r="D1217" s="1631">
        <v>150000</v>
      </c>
      <c r="E1217" s="1625"/>
      <c r="F1217" s="829"/>
      <c r="G1217" s="829">
        <f t="shared" si="67"/>
        <v>300000</v>
      </c>
    </row>
    <row r="1218" spans="1:7" s="435" customFormat="1" ht="56.25" x14ac:dyDescent="0.3">
      <c r="A1218" s="1848"/>
      <c r="B1218" s="1628" t="s">
        <v>2221</v>
      </c>
      <c r="C1218" s="1625">
        <v>38946</v>
      </c>
      <c r="D1218" s="1625"/>
      <c r="E1218" s="1625">
        <v>38946</v>
      </c>
      <c r="F1218" s="829"/>
      <c r="G1218" s="829">
        <f t="shared" si="67"/>
        <v>77892</v>
      </c>
    </row>
    <row r="1219" spans="1:7" s="435" customFormat="1" ht="75" x14ac:dyDescent="0.3">
      <c r="A1219" s="1848"/>
      <c r="B1219" s="1628" t="s">
        <v>2222</v>
      </c>
      <c r="C1219" s="1625">
        <v>25000</v>
      </c>
      <c r="D1219" s="1625">
        <v>25000</v>
      </c>
      <c r="E1219" s="1625"/>
      <c r="F1219" s="829"/>
      <c r="G1219" s="829">
        <f t="shared" si="67"/>
        <v>50000</v>
      </c>
    </row>
    <row r="1220" spans="1:7" s="435" customFormat="1" ht="56.25" x14ac:dyDescent="0.3">
      <c r="A1220" s="1848"/>
      <c r="B1220" s="1628" t="s">
        <v>2223</v>
      </c>
      <c r="C1220" s="1625">
        <v>27016</v>
      </c>
      <c r="D1220" s="1625">
        <v>27016</v>
      </c>
      <c r="E1220" s="1625"/>
      <c r="F1220" s="829"/>
      <c r="G1220" s="829">
        <f t="shared" si="67"/>
        <v>54032</v>
      </c>
    </row>
    <row r="1221" spans="1:7" s="435" customFormat="1" hidden="1" x14ac:dyDescent="0.3">
      <c r="A1221" s="1848"/>
      <c r="B1221" s="1382"/>
      <c r="C1221" s="1385"/>
      <c r="D1221" s="1385"/>
      <c r="E1221" s="1386"/>
      <c r="F1221" s="829"/>
      <c r="G1221" s="829">
        <f t="shared" si="67"/>
        <v>0</v>
      </c>
    </row>
    <row r="1222" spans="1:7" s="435" customFormat="1" hidden="1" x14ac:dyDescent="0.3">
      <c r="A1222" s="1848"/>
      <c r="B1222" s="1382"/>
      <c r="C1222" s="1385"/>
      <c r="D1222" s="1385"/>
      <c r="E1222" s="1386"/>
      <c r="F1222" s="829"/>
      <c r="G1222" s="829">
        <f t="shared" si="67"/>
        <v>0</v>
      </c>
    </row>
    <row r="1223" spans="1:7" s="435" customFormat="1" hidden="1" x14ac:dyDescent="0.3">
      <c r="A1223" s="1848"/>
      <c r="B1223" s="1382"/>
      <c r="C1223" s="1385"/>
      <c r="D1223" s="1385"/>
      <c r="E1223" s="1386"/>
      <c r="F1223" s="829"/>
      <c r="G1223" s="829">
        <f t="shared" si="67"/>
        <v>0</v>
      </c>
    </row>
    <row r="1224" spans="1:7" s="435" customFormat="1" hidden="1" x14ac:dyDescent="0.3">
      <c r="A1224" s="1848"/>
      <c r="B1224" s="1382"/>
      <c r="C1224" s="1385"/>
      <c r="D1224" s="1385"/>
      <c r="E1224" s="1386"/>
      <c r="F1224" s="829"/>
      <c r="G1224" s="829">
        <f t="shared" si="67"/>
        <v>0</v>
      </c>
    </row>
    <row r="1225" spans="1:7" s="435" customFormat="1" hidden="1" x14ac:dyDescent="0.3">
      <c r="A1225" s="1848"/>
      <c r="B1225" s="1382"/>
      <c r="C1225" s="1385"/>
      <c r="D1225" s="1385"/>
      <c r="E1225" s="1386"/>
      <c r="F1225" s="829"/>
      <c r="G1225" s="829">
        <f t="shared" ref="G1225:G1288" si="69">SUM(C1225:E1225)</f>
        <v>0</v>
      </c>
    </row>
    <row r="1226" spans="1:7" s="435" customFormat="1" hidden="1" x14ac:dyDescent="0.3">
      <c r="A1226" s="1848"/>
      <c r="B1226" s="1382"/>
      <c r="C1226" s="1385"/>
      <c r="D1226" s="1385"/>
      <c r="E1226" s="1386"/>
      <c r="F1226" s="829"/>
      <c r="G1226" s="829">
        <f t="shared" si="69"/>
        <v>0</v>
      </c>
    </row>
    <row r="1227" spans="1:7" s="435" customFormat="1" hidden="1" x14ac:dyDescent="0.3">
      <c r="A1227" s="1848"/>
      <c r="B1227" s="1382"/>
      <c r="C1227" s="1385"/>
      <c r="D1227" s="1385"/>
      <c r="E1227" s="1386"/>
      <c r="F1227" s="829"/>
      <c r="G1227" s="829">
        <f t="shared" si="69"/>
        <v>0</v>
      </c>
    </row>
    <row r="1228" spans="1:7" s="435" customFormat="1" hidden="1" x14ac:dyDescent="0.3">
      <c r="A1228" s="1848"/>
      <c r="B1228" s="1382"/>
      <c r="C1228" s="1385"/>
      <c r="D1228" s="1385"/>
      <c r="E1228" s="1386"/>
      <c r="F1228" s="829"/>
      <c r="G1228" s="829">
        <f t="shared" si="69"/>
        <v>0</v>
      </c>
    </row>
    <row r="1229" spans="1:7" s="435" customFormat="1" hidden="1" x14ac:dyDescent="0.3">
      <c r="A1229" s="1848"/>
      <c r="B1229" s="1382"/>
      <c r="C1229" s="1385"/>
      <c r="D1229" s="1385"/>
      <c r="E1229" s="1386"/>
      <c r="F1229" s="829"/>
      <c r="G1229" s="829">
        <f t="shared" si="69"/>
        <v>0</v>
      </c>
    </row>
    <row r="1230" spans="1:7" s="435" customFormat="1" hidden="1" x14ac:dyDescent="0.3">
      <c r="A1230" s="1848"/>
      <c r="B1230" s="1382"/>
      <c r="C1230" s="1385"/>
      <c r="D1230" s="1385"/>
      <c r="E1230" s="1386"/>
      <c r="F1230" s="829"/>
      <c r="G1230" s="829">
        <f t="shared" si="69"/>
        <v>0</v>
      </c>
    </row>
    <row r="1231" spans="1:7" s="435" customFormat="1" hidden="1" x14ac:dyDescent="0.3">
      <c r="A1231" s="1848"/>
      <c r="B1231" s="1382"/>
      <c r="C1231" s="1385"/>
      <c r="D1231" s="1385"/>
      <c r="E1231" s="1386"/>
      <c r="F1231" s="829"/>
      <c r="G1231" s="829">
        <f t="shared" si="69"/>
        <v>0</v>
      </c>
    </row>
    <row r="1232" spans="1:7" s="435" customFormat="1" hidden="1" x14ac:dyDescent="0.3">
      <c r="A1232" s="1848"/>
      <c r="B1232" s="1382"/>
      <c r="C1232" s="1385"/>
      <c r="D1232" s="1385"/>
      <c r="E1232" s="1386"/>
      <c r="F1232" s="829"/>
      <c r="G1232" s="829">
        <f t="shared" si="69"/>
        <v>0</v>
      </c>
    </row>
    <row r="1233" spans="1:7" s="435" customFormat="1" hidden="1" x14ac:dyDescent="0.3">
      <c r="A1233" s="1848"/>
      <c r="B1233" s="1382"/>
      <c r="C1233" s="1385"/>
      <c r="D1233" s="1385"/>
      <c r="E1233" s="1385"/>
      <c r="F1233" s="829">
        <f t="shared" ref="F1233:F1254" si="70">E1233+D1233-C1233</f>
        <v>0</v>
      </c>
      <c r="G1233" s="829">
        <f t="shared" si="69"/>
        <v>0</v>
      </c>
    </row>
    <row r="1234" spans="1:7" s="435" customFormat="1" hidden="1" x14ac:dyDescent="0.3">
      <c r="A1234" s="1848"/>
      <c r="B1234" s="1382"/>
      <c r="C1234" s="1385"/>
      <c r="D1234" s="1385"/>
      <c r="E1234" s="1385"/>
      <c r="F1234" s="829">
        <f t="shared" si="70"/>
        <v>0</v>
      </c>
      <c r="G1234" s="829">
        <f t="shared" si="69"/>
        <v>0</v>
      </c>
    </row>
    <row r="1235" spans="1:7" s="435" customFormat="1" hidden="1" x14ac:dyDescent="0.3">
      <c r="A1235" s="1848"/>
      <c r="B1235" s="1382"/>
      <c r="C1235" s="1385"/>
      <c r="D1235" s="1385"/>
      <c r="E1235" s="1385"/>
      <c r="F1235" s="829">
        <f t="shared" si="70"/>
        <v>0</v>
      </c>
      <c r="G1235" s="829">
        <f t="shared" si="69"/>
        <v>0</v>
      </c>
    </row>
    <row r="1236" spans="1:7" s="435" customFormat="1" hidden="1" x14ac:dyDescent="0.3">
      <c r="A1236" s="1848"/>
      <c r="B1236" s="1382"/>
      <c r="C1236" s="1385"/>
      <c r="D1236" s="1385"/>
      <c r="E1236" s="1385"/>
      <c r="F1236" s="829">
        <f t="shared" si="70"/>
        <v>0</v>
      </c>
      <c r="G1236" s="829">
        <f t="shared" si="69"/>
        <v>0</v>
      </c>
    </row>
    <row r="1237" spans="1:7" s="435" customFormat="1" ht="18" hidden="1" customHeight="1" x14ac:dyDescent="0.3">
      <c r="A1237" s="1848"/>
      <c r="B1237" s="862"/>
      <c r="C1237" s="1438">
        <f>SUM(D1237:E1237)</f>
        <v>0</v>
      </c>
      <c r="D1237" s="1439"/>
      <c r="E1237" s="1440"/>
      <c r="F1237" s="829">
        <f t="shared" si="70"/>
        <v>0</v>
      </c>
      <c r="G1237" s="829">
        <f t="shared" si="69"/>
        <v>0</v>
      </c>
    </row>
    <row r="1238" spans="1:7" s="435" customFormat="1" ht="18" customHeight="1" x14ac:dyDescent="0.3">
      <c r="A1238" s="1848"/>
      <c r="B1238" s="862" t="s">
        <v>740</v>
      </c>
      <c r="C1238" s="1438">
        <f>SUM(C1184:C1237)</f>
        <v>3807218</v>
      </c>
      <c r="D1238" s="1438">
        <f>SUM(D1184:D1237)</f>
        <v>1538216</v>
      </c>
      <c r="E1238" s="1438">
        <f>SUM(E1184:E1237)</f>
        <v>2269002</v>
      </c>
      <c r="F1238" s="829">
        <f t="shared" si="70"/>
        <v>0</v>
      </c>
      <c r="G1238" s="829">
        <f t="shared" si="69"/>
        <v>7614436</v>
      </c>
    </row>
    <row r="1239" spans="1:7" s="435" customFormat="1" ht="75" x14ac:dyDescent="0.3">
      <c r="A1239" s="1848" t="s">
        <v>1143</v>
      </c>
      <c r="B1239" s="507" t="s">
        <v>617</v>
      </c>
      <c r="C1239" s="1460">
        <v>6100</v>
      </c>
      <c r="D1239" s="1460">
        <v>6100</v>
      </c>
      <c r="E1239" s="1469"/>
      <c r="F1239" s="829">
        <f t="shared" si="70"/>
        <v>0</v>
      </c>
      <c r="G1239" s="829">
        <f t="shared" si="69"/>
        <v>12200</v>
      </c>
    </row>
    <row r="1240" spans="1:7" s="435" customFormat="1" ht="93.75" x14ac:dyDescent="0.3">
      <c r="A1240" s="1848"/>
      <c r="B1240" s="506" t="s">
        <v>1568</v>
      </c>
      <c r="C1240" s="892">
        <v>500000</v>
      </c>
      <c r="D1240" s="565"/>
      <c r="E1240" s="892">
        <v>500000</v>
      </c>
      <c r="F1240" s="829">
        <f t="shared" si="70"/>
        <v>0</v>
      </c>
      <c r="G1240" s="829">
        <f t="shared" si="69"/>
        <v>1000000</v>
      </c>
    </row>
    <row r="1241" spans="1:7" s="435" customFormat="1" ht="75" x14ac:dyDescent="0.3">
      <c r="A1241" s="1848"/>
      <c r="B1241" s="1118" t="s">
        <v>1327</v>
      </c>
      <c r="C1241" s="1439">
        <f>440000-53819</f>
        <v>386181</v>
      </c>
      <c r="D1241" s="1439"/>
      <c r="E1241" s="1439">
        <f>440000-53819</f>
        <v>386181</v>
      </c>
      <c r="F1241" s="829">
        <f t="shared" si="70"/>
        <v>0</v>
      </c>
      <c r="G1241" s="829">
        <f t="shared" si="69"/>
        <v>772362</v>
      </c>
    </row>
    <row r="1242" spans="1:7" s="435" customFormat="1" ht="75" x14ac:dyDescent="0.3">
      <c r="A1242" s="1848"/>
      <c r="B1242" s="506" t="s">
        <v>1888</v>
      </c>
      <c r="C1242" s="1637">
        <v>53819</v>
      </c>
      <c r="D1242" s="1562"/>
      <c r="E1242" s="883">
        <v>53819</v>
      </c>
      <c r="F1242" s="829">
        <f t="shared" si="70"/>
        <v>0</v>
      </c>
      <c r="G1242" s="829">
        <f t="shared" si="69"/>
        <v>107638</v>
      </c>
    </row>
    <row r="1243" spans="1:7" s="435" customFormat="1" ht="37.5" x14ac:dyDescent="0.3">
      <c r="A1243" s="1848"/>
      <c r="B1243" s="1118" t="s">
        <v>2301</v>
      </c>
      <c r="C1243" s="1439">
        <v>10000</v>
      </c>
      <c r="D1243" s="1439"/>
      <c r="E1243" s="1439">
        <v>10000</v>
      </c>
      <c r="F1243" s="829">
        <f t="shared" si="70"/>
        <v>0</v>
      </c>
      <c r="G1243" s="829">
        <f t="shared" si="69"/>
        <v>20000</v>
      </c>
    </row>
    <row r="1244" spans="1:7" ht="56.25" x14ac:dyDescent="0.3">
      <c r="A1244" s="1848"/>
      <c r="B1244" s="1118" t="s">
        <v>1328</v>
      </c>
      <c r="C1244" s="1439">
        <v>50000</v>
      </c>
      <c r="D1244" s="1439"/>
      <c r="E1244" s="1439">
        <v>50000</v>
      </c>
      <c r="F1244" s="829">
        <f t="shared" si="70"/>
        <v>0</v>
      </c>
      <c r="G1244" s="829">
        <f t="shared" si="69"/>
        <v>100000</v>
      </c>
    </row>
    <row r="1245" spans="1:7" ht="37.5" x14ac:dyDescent="0.3">
      <c r="A1245" s="1848"/>
      <c r="B1245" s="506" t="s">
        <v>1528</v>
      </c>
      <c r="C1245" s="586">
        <v>10000</v>
      </c>
      <c r="D1245" s="586">
        <v>10000</v>
      </c>
      <c r="E1245" s="586"/>
      <c r="F1245" s="829">
        <f t="shared" si="70"/>
        <v>0</v>
      </c>
      <c r="G1245" s="829">
        <f t="shared" si="69"/>
        <v>20000</v>
      </c>
    </row>
    <row r="1246" spans="1:7" ht="56.25" x14ac:dyDescent="0.3">
      <c r="A1246" s="1848"/>
      <c r="B1246" s="506" t="s">
        <v>1529</v>
      </c>
      <c r="C1246" s="565">
        <v>10000</v>
      </c>
      <c r="D1246" s="565"/>
      <c r="E1246" s="586">
        <v>10000</v>
      </c>
      <c r="F1246" s="829">
        <f t="shared" si="70"/>
        <v>0</v>
      </c>
      <c r="G1246" s="829">
        <f t="shared" si="69"/>
        <v>20000</v>
      </c>
    </row>
    <row r="1247" spans="1:7" ht="75" x14ac:dyDescent="0.3">
      <c r="A1247" s="1848"/>
      <c r="B1247" s="506" t="s">
        <v>1888</v>
      </c>
      <c r="C1247" s="882">
        <f>400000-100000</f>
        <v>300000</v>
      </c>
      <c r="D1247" s="882"/>
      <c r="E1247" s="882">
        <v>300000</v>
      </c>
      <c r="F1247" s="829">
        <f t="shared" si="70"/>
        <v>0</v>
      </c>
      <c r="G1247" s="829">
        <f t="shared" si="69"/>
        <v>600000</v>
      </c>
    </row>
    <row r="1248" spans="1:7" ht="37.5" x14ac:dyDescent="0.3">
      <c r="A1248" s="1848"/>
      <c r="B1248" s="506" t="s">
        <v>1719</v>
      </c>
      <c r="C1248" s="1438">
        <v>173310</v>
      </c>
      <c r="D1248" s="565">
        <v>173310</v>
      </c>
      <c r="E1248" s="565"/>
      <c r="F1248" s="829">
        <f t="shared" si="70"/>
        <v>0</v>
      </c>
      <c r="G1248" s="829">
        <f t="shared" si="69"/>
        <v>346620</v>
      </c>
    </row>
    <row r="1249" spans="1:7" ht="56.25" x14ac:dyDescent="0.3">
      <c r="A1249" s="1848"/>
      <c r="B1249" s="506" t="s">
        <v>1891</v>
      </c>
      <c r="C1249" s="882">
        <v>173310</v>
      </c>
      <c r="D1249" s="882"/>
      <c r="E1249" s="882">
        <v>173310</v>
      </c>
      <c r="F1249" s="829">
        <f t="shared" si="70"/>
        <v>0</v>
      </c>
      <c r="G1249" s="829">
        <f t="shared" si="69"/>
        <v>346620</v>
      </c>
    </row>
    <row r="1250" spans="1:7" ht="131.25" x14ac:dyDescent="0.3">
      <c r="A1250" s="1848"/>
      <c r="B1250" s="506" t="s">
        <v>1720</v>
      </c>
      <c r="C1250" s="1438">
        <v>25000</v>
      </c>
      <c r="D1250" s="565">
        <v>25000</v>
      </c>
      <c r="E1250" s="565"/>
      <c r="F1250" s="829">
        <f t="shared" si="70"/>
        <v>0</v>
      </c>
      <c r="G1250" s="829">
        <f t="shared" si="69"/>
        <v>50000</v>
      </c>
    </row>
    <row r="1251" spans="1:7" ht="37.5" x14ac:dyDescent="0.3">
      <c r="A1251" s="1848"/>
      <c r="B1251" s="862" t="s">
        <v>1721</v>
      </c>
      <c r="C1251" s="1438">
        <v>10000</v>
      </c>
      <c r="D1251" s="1438">
        <v>10000</v>
      </c>
      <c r="E1251" s="892"/>
      <c r="F1251" s="829">
        <f t="shared" si="70"/>
        <v>0</v>
      </c>
      <c r="G1251" s="829">
        <f t="shared" si="69"/>
        <v>20000</v>
      </c>
    </row>
    <row r="1252" spans="1:7" ht="56.25" x14ac:dyDescent="0.3">
      <c r="A1252" s="1848"/>
      <c r="B1252" s="506" t="s">
        <v>1722</v>
      </c>
      <c r="C1252" s="1457">
        <v>15000</v>
      </c>
      <c r="D1252" s="1457">
        <v>15000</v>
      </c>
      <c r="E1252" s="1629"/>
      <c r="F1252" s="829">
        <f t="shared" si="70"/>
        <v>0</v>
      </c>
      <c r="G1252" s="829">
        <f t="shared" si="69"/>
        <v>30000</v>
      </c>
    </row>
    <row r="1253" spans="1:7" ht="93.75" x14ac:dyDescent="0.3">
      <c r="A1253" s="1848"/>
      <c r="B1253" s="1530" t="s">
        <v>2332</v>
      </c>
      <c r="C1253" s="1457">
        <v>175000</v>
      </c>
      <c r="D1253" s="1457"/>
      <c r="E1253" s="1457">
        <v>175000</v>
      </c>
      <c r="F1253" s="829">
        <f t="shared" si="70"/>
        <v>0</v>
      </c>
      <c r="G1253" s="829">
        <f t="shared" si="69"/>
        <v>350000</v>
      </c>
    </row>
    <row r="1254" spans="1:7" ht="75" x14ac:dyDescent="0.3">
      <c r="A1254" s="1848"/>
      <c r="B1254" s="506" t="s">
        <v>1945</v>
      </c>
      <c r="C1254" s="882">
        <v>133000</v>
      </c>
      <c r="D1254" s="882"/>
      <c r="E1254" s="882">
        <v>133000</v>
      </c>
      <c r="F1254" s="829">
        <f t="shared" si="70"/>
        <v>0</v>
      </c>
      <c r="G1254" s="829">
        <f t="shared" si="69"/>
        <v>266000</v>
      </c>
    </row>
    <row r="1255" spans="1:7" ht="93.75" x14ac:dyDescent="0.3">
      <c r="A1255" s="1848"/>
      <c r="B1255" s="506" t="s">
        <v>1973</v>
      </c>
      <c r="C1255" s="565">
        <v>18450</v>
      </c>
      <c r="D1255" s="565">
        <v>18450</v>
      </c>
      <c r="E1255" s="586"/>
      <c r="F1255" s="829"/>
      <c r="G1255" s="829">
        <f t="shared" si="69"/>
        <v>36900</v>
      </c>
    </row>
    <row r="1256" spans="1:7" ht="75" x14ac:dyDescent="0.3">
      <c r="A1256" s="1848"/>
      <c r="B1256" s="506" t="s">
        <v>1977</v>
      </c>
      <c r="C1256" s="565">
        <v>18900</v>
      </c>
      <c r="D1256" s="565">
        <v>18900</v>
      </c>
      <c r="E1256" s="586"/>
      <c r="F1256" s="829"/>
      <c r="G1256" s="829">
        <f t="shared" si="69"/>
        <v>37800</v>
      </c>
    </row>
    <row r="1257" spans="1:7" ht="75" x14ac:dyDescent="0.3">
      <c r="A1257" s="1848"/>
      <c r="B1257" s="862" t="s">
        <v>2067</v>
      </c>
      <c r="C1257" s="1627">
        <v>150000</v>
      </c>
      <c r="D1257" s="1627">
        <v>150000</v>
      </c>
      <c r="E1257" s="1627"/>
      <c r="F1257" s="829"/>
      <c r="G1257" s="829">
        <f t="shared" si="69"/>
        <v>300000</v>
      </c>
    </row>
    <row r="1258" spans="1:7" ht="56.25" x14ac:dyDescent="0.3">
      <c r="A1258" s="1848"/>
      <c r="B1258" s="1651" t="s">
        <v>2224</v>
      </c>
      <c r="C1258" s="1631">
        <v>11000</v>
      </c>
      <c r="D1258" s="1631">
        <v>11000</v>
      </c>
      <c r="E1258" s="1625"/>
      <c r="F1258" s="829"/>
      <c r="G1258" s="829">
        <f t="shared" si="69"/>
        <v>22000</v>
      </c>
    </row>
    <row r="1259" spans="1:7" ht="56.25" x14ac:dyDescent="0.3">
      <c r="A1259" s="1848"/>
      <c r="B1259" s="1644" t="s">
        <v>2225</v>
      </c>
      <c r="C1259" s="1625">
        <v>191044</v>
      </c>
      <c r="D1259" s="1625">
        <v>191044</v>
      </c>
      <c r="E1259" s="1625"/>
      <c r="F1259" s="829"/>
      <c r="G1259" s="829">
        <f t="shared" si="69"/>
        <v>382088</v>
      </c>
    </row>
    <row r="1260" spans="1:7" ht="75" x14ac:dyDescent="0.3">
      <c r="A1260" s="1848"/>
      <c r="B1260" s="1628" t="s">
        <v>2226</v>
      </c>
      <c r="C1260" s="1631">
        <v>66064</v>
      </c>
      <c r="D1260" s="1631"/>
      <c r="E1260" s="1625">
        <v>66064</v>
      </c>
      <c r="F1260" s="829">
        <f>E1260+D1260-C1260</f>
        <v>0</v>
      </c>
      <c r="G1260" s="829">
        <f t="shared" si="69"/>
        <v>132128</v>
      </c>
    </row>
    <row r="1261" spans="1:7" ht="75" x14ac:dyDescent="0.3">
      <c r="A1261" s="1848"/>
      <c r="B1261" s="1654" t="s">
        <v>2258</v>
      </c>
      <c r="C1261" s="1558">
        <v>53936</v>
      </c>
      <c r="D1261" s="1558"/>
      <c r="E1261" s="1558">
        <v>53936</v>
      </c>
      <c r="F1261" s="829"/>
      <c r="G1261" s="829">
        <f t="shared" si="69"/>
        <v>107872</v>
      </c>
    </row>
    <row r="1262" spans="1:7" ht="37.5" x14ac:dyDescent="0.3">
      <c r="A1262" s="1848"/>
      <c r="B1262" s="1654" t="s">
        <v>2259</v>
      </c>
      <c r="C1262" s="1558">
        <v>25000</v>
      </c>
      <c r="D1262" s="1558">
        <v>25000</v>
      </c>
      <c r="E1262" s="1558"/>
      <c r="F1262" s="829"/>
      <c r="G1262" s="829">
        <f t="shared" si="69"/>
        <v>50000</v>
      </c>
    </row>
    <row r="1263" spans="1:7" ht="37.5" x14ac:dyDescent="0.3">
      <c r="A1263" s="1848"/>
      <c r="B1263" s="1654" t="s">
        <v>2260</v>
      </c>
      <c r="C1263" s="1558">
        <v>15000</v>
      </c>
      <c r="D1263" s="1558">
        <v>15000</v>
      </c>
      <c r="E1263" s="1558"/>
      <c r="F1263" s="829"/>
      <c r="G1263" s="829">
        <f t="shared" si="69"/>
        <v>30000</v>
      </c>
    </row>
    <row r="1264" spans="1:7" hidden="1" x14ac:dyDescent="0.3">
      <c r="A1264" s="1848"/>
      <c r="B1264" s="1427"/>
      <c r="C1264" s="1438">
        <f t="shared" ref="C1264:C1275" si="71">SUM(D1264:E1264)</f>
        <v>0</v>
      </c>
      <c r="D1264" s="1456"/>
      <c r="E1264" s="1443"/>
      <c r="F1264" s="829"/>
      <c r="G1264" s="829">
        <f t="shared" si="69"/>
        <v>0</v>
      </c>
    </row>
    <row r="1265" spans="1:7" hidden="1" x14ac:dyDescent="0.3">
      <c r="A1265" s="1848"/>
      <c r="B1265" s="1427"/>
      <c r="C1265" s="1438">
        <f t="shared" si="71"/>
        <v>0</v>
      </c>
      <c r="D1265" s="1456"/>
      <c r="E1265" s="1443"/>
      <c r="F1265" s="829"/>
      <c r="G1265" s="829">
        <f t="shared" si="69"/>
        <v>0</v>
      </c>
    </row>
    <row r="1266" spans="1:7" hidden="1" x14ac:dyDescent="0.3">
      <c r="A1266" s="1848"/>
      <c r="B1266" s="1427"/>
      <c r="C1266" s="1438">
        <f t="shared" si="71"/>
        <v>0</v>
      </c>
      <c r="D1266" s="1456"/>
      <c r="E1266" s="1443"/>
      <c r="F1266" s="829"/>
      <c r="G1266" s="829">
        <f t="shared" si="69"/>
        <v>0</v>
      </c>
    </row>
    <row r="1267" spans="1:7" hidden="1" x14ac:dyDescent="0.3">
      <c r="A1267" s="1848"/>
      <c r="B1267" s="1427"/>
      <c r="C1267" s="1438">
        <f t="shared" si="71"/>
        <v>0</v>
      </c>
      <c r="D1267" s="1456"/>
      <c r="E1267" s="1443"/>
      <c r="F1267" s="829"/>
      <c r="G1267" s="829">
        <f t="shared" si="69"/>
        <v>0</v>
      </c>
    </row>
    <row r="1268" spans="1:7" hidden="1" x14ac:dyDescent="0.3">
      <c r="A1268" s="1848"/>
      <c r="B1268" s="1427"/>
      <c r="C1268" s="1438">
        <f t="shared" si="71"/>
        <v>0</v>
      </c>
      <c r="D1268" s="1456"/>
      <c r="E1268" s="1443"/>
      <c r="F1268" s="829"/>
      <c r="G1268" s="829">
        <f t="shared" si="69"/>
        <v>0</v>
      </c>
    </row>
    <row r="1269" spans="1:7" hidden="1" x14ac:dyDescent="0.3">
      <c r="A1269" s="1848"/>
      <c r="B1269" s="1427"/>
      <c r="C1269" s="1438">
        <f t="shared" si="71"/>
        <v>0</v>
      </c>
      <c r="D1269" s="1456"/>
      <c r="E1269" s="1443"/>
      <c r="F1269" s="829"/>
      <c r="G1269" s="829">
        <f t="shared" si="69"/>
        <v>0</v>
      </c>
    </row>
    <row r="1270" spans="1:7" hidden="1" x14ac:dyDescent="0.3">
      <c r="A1270" s="1848"/>
      <c r="B1270" s="862"/>
      <c r="C1270" s="1438">
        <f t="shared" si="71"/>
        <v>0</v>
      </c>
      <c r="D1270" s="1439"/>
      <c r="E1270" s="1440"/>
      <c r="F1270" s="829">
        <f>E1270+D1270-C1270</f>
        <v>0</v>
      </c>
      <c r="G1270" s="829">
        <f t="shared" si="69"/>
        <v>0</v>
      </c>
    </row>
    <row r="1271" spans="1:7" hidden="1" x14ac:dyDescent="0.3">
      <c r="A1271" s="1848"/>
      <c r="B1271" s="862"/>
      <c r="C1271" s="1438">
        <f t="shared" si="71"/>
        <v>0</v>
      </c>
      <c r="D1271" s="1439"/>
      <c r="E1271" s="1440"/>
      <c r="F1271" s="829"/>
      <c r="G1271" s="829">
        <f t="shared" si="69"/>
        <v>0</v>
      </c>
    </row>
    <row r="1272" spans="1:7" hidden="1" x14ac:dyDescent="0.3">
      <c r="A1272" s="1848"/>
      <c r="B1272" s="862"/>
      <c r="C1272" s="1438">
        <f t="shared" si="71"/>
        <v>0</v>
      </c>
      <c r="D1272" s="1439"/>
      <c r="E1272" s="1440"/>
      <c r="F1272" s="829"/>
      <c r="G1272" s="829">
        <f t="shared" si="69"/>
        <v>0</v>
      </c>
    </row>
    <row r="1273" spans="1:7" hidden="1" x14ac:dyDescent="0.3">
      <c r="A1273" s="1848"/>
      <c r="B1273" s="862"/>
      <c r="C1273" s="1438">
        <f t="shared" si="71"/>
        <v>0</v>
      </c>
      <c r="D1273" s="1439"/>
      <c r="E1273" s="1440"/>
      <c r="F1273" s="829"/>
      <c r="G1273" s="829">
        <f t="shared" si="69"/>
        <v>0</v>
      </c>
    </row>
    <row r="1274" spans="1:7" hidden="1" x14ac:dyDescent="0.3">
      <c r="A1274" s="1848"/>
      <c r="B1274" s="862"/>
      <c r="C1274" s="1438">
        <f t="shared" si="71"/>
        <v>0</v>
      </c>
      <c r="D1274" s="1439"/>
      <c r="E1274" s="1440"/>
      <c r="F1274" s="829"/>
      <c r="G1274" s="829">
        <f t="shared" si="69"/>
        <v>0</v>
      </c>
    </row>
    <row r="1275" spans="1:7" hidden="1" x14ac:dyDescent="0.3">
      <c r="A1275" s="1848"/>
      <c r="B1275" s="862"/>
      <c r="C1275" s="1438">
        <f t="shared" si="71"/>
        <v>0</v>
      </c>
      <c r="D1275" s="1439"/>
      <c r="E1275" s="1440"/>
      <c r="F1275" s="829"/>
      <c r="G1275" s="829">
        <f t="shared" si="69"/>
        <v>0</v>
      </c>
    </row>
    <row r="1276" spans="1:7" ht="35.450000000000003" hidden="1" customHeight="1" x14ac:dyDescent="0.3">
      <c r="A1276" s="1848"/>
      <c r="B1276" s="862"/>
      <c r="C1276" s="1438">
        <f>SUM(D1276:E1276)</f>
        <v>0</v>
      </c>
      <c r="D1276" s="1439"/>
      <c r="E1276" s="1440"/>
      <c r="F1276" s="829">
        <f>E1276+D1276-C1276</f>
        <v>0</v>
      </c>
      <c r="G1276" s="829">
        <f t="shared" si="69"/>
        <v>0</v>
      </c>
    </row>
    <row r="1277" spans="1:7" x14ac:dyDescent="0.3">
      <c r="A1277" s="1848"/>
      <c r="B1277" s="862" t="s">
        <v>740</v>
      </c>
      <c r="C1277" s="1438">
        <f>SUM(C1239:C1276)</f>
        <v>2580114</v>
      </c>
      <c r="D1277" s="1438">
        <f>SUM(D1239:D1276)</f>
        <v>668804</v>
      </c>
      <c r="E1277" s="1438">
        <f>SUM(E1239:E1276)</f>
        <v>1911310</v>
      </c>
      <c r="F1277" s="829">
        <f t="shared" ref="F1277:F1284" si="72">E1277+D1277-C1277</f>
        <v>0</v>
      </c>
      <c r="G1277" s="829">
        <f t="shared" si="69"/>
        <v>5160228</v>
      </c>
    </row>
    <row r="1278" spans="1:7" ht="75" x14ac:dyDescent="0.3">
      <c r="A1278" s="1848" t="s">
        <v>1145</v>
      </c>
      <c r="B1278" s="507" t="s">
        <v>617</v>
      </c>
      <c r="C1278" s="1460">
        <v>8800</v>
      </c>
      <c r="D1278" s="1460">
        <v>8800</v>
      </c>
      <c r="E1278" s="1469"/>
      <c r="F1278" s="829">
        <f t="shared" si="72"/>
        <v>0</v>
      </c>
      <c r="G1278" s="829">
        <f t="shared" si="69"/>
        <v>17600</v>
      </c>
    </row>
    <row r="1279" spans="1:7" ht="56.25" x14ac:dyDescent="0.3">
      <c r="A1279" s="1848"/>
      <c r="B1279" s="1118" t="s">
        <v>1329</v>
      </c>
      <c r="C1279" s="1439">
        <v>200000</v>
      </c>
      <c r="D1279" s="1439">
        <v>200000</v>
      </c>
      <c r="E1279" s="1439"/>
      <c r="F1279" s="829">
        <f t="shared" si="72"/>
        <v>0</v>
      </c>
      <c r="G1279" s="829">
        <f t="shared" si="69"/>
        <v>400000</v>
      </c>
    </row>
    <row r="1280" spans="1:7" ht="37.5" x14ac:dyDescent="0.3">
      <c r="A1280" s="1848"/>
      <c r="B1280" s="1118" t="s">
        <v>1330</v>
      </c>
      <c r="C1280" s="1439">
        <v>60000</v>
      </c>
      <c r="D1280" s="1439"/>
      <c r="E1280" s="1439">
        <v>60000</v>
      </c>
      <c r="F1280" s="829">
        <f t="shared" si="72"/>
        <v>0</v>
      </c>
      <c r="G1280" s="829">
        <f t="shared" si="69"/>
        <v>120000</v>
      </c>
    </row>
    <row r="1281" spans="1:7" ht="37.5" x14ac:dyDescent="0.3">
      <c r="A1281" s="1848"/>
      <c r="B1281" s="1118" t="s">
        <v>1331</v>
      </c>
      <c r="C1281" s="1439">
        <v>35000</v>
      </c>
      <c r="D1281" s="1439"/>
      <c r="E1281" s="1439">
        <v>35000</v>
      </c>
      <c r="F1281" s="829">
        <f t="shared" si="72"/>
        <v>0</v>
      </c>
      <c r="G1281" s="829">
        <f t="shared" si="69"/>
        <v>70000</v>
      </c>
    </row>
    <row r="1282" spans="1:7" ht="150" x14ac:dyDescent="0.3">
      <c r="A1282" s="1848"/>
      <c r="B1282" s="1118" t="s">
        <v>1332</v>
      </c>
      <c r="C1282" s="1439">
        <v>205000</v>
      </c>
      <c r="D1282" s="1439"/>
      <c r="E1282" s="1439">
        <v>205000</v>
      </c>
      <c r="F1282" s="829">
        <f t="shared" si="72"/>
        <v>0</v>
      </c>
      <c r="G1282" s="829">
        <f t="shared" si="69"/>
        <v>410000</v>
      </c>
    </row>
    <row r="1283" spans="1:7" ht="150" x14ac:dyDescent="0.3">
      <c r="A1283" s="1848"/>
      <c r="B1283" s="862" t="s">
        <v>1723</v>
      </c>
      <c r="C1283" s="1438">
        <f>SUM(D1283:E1283)</f>
        <v>100000</v>
      </c>
      <c r="D1283" s="1438">
        <v>100000</v>
      </c>
      <c r="E1283" s="892"/>
      <c r="F1283" s="829">
        <f t="shared" si="72"/>
        <v>0</v>
      </c>
      <c r="G1283" s="829">
        <f t="shared" si="69"/>
        <v>200000</v>
      </c>
    </row>
    <row r="1284" spans="1:7" ht="56.25" x14ac:dyDescent="0.3">
      <c r="A1284" s="1848"/>
      <c r="B1284" s="506" t="s">
        <v>1724</v>
      </c>
      <c r="C1284" s="1457">
        <v>25000</v>
      </c>
      <c r="D1284" s="1457"/>
      <c r="E1284" s="1457">
        <v>25000</v>
      </c>
      <c r="F1284" s="829">
        <f t="shared" si="72"/>
        <v>0</v>
      </c>
      <c r="G1284" s="829">
        <f t="shared" si="69"/>
        <v>50000</v>
      </c>
    </row>
    <row r="1285" spans="1:7" ht="75" x14ac:dyDescent="0.3">
      <c r="A1285" s="1848"/>
      <c r="B1285" s="862" t="s">
        <v>2068</v>
      </c>
      <c r="C1285" s="1627">
        <v>108956</v>
      </c>
      <c r="D1285" s="1627"/>
      <c r="E1285" s="1627">
        <v>108956</v>
      </c>
      <c r="F1285" s="829"/>
      <c r="G1285" s="829">
        <f t="shared" si="69"/>
        <v>217912</v>
      </c>
    </row>
    <row r="1286" spans="1:7" ht="75" x14ac:dyDescent="0.3">
      <c r="A1286" s="1848"/>
      <c r="B1286" s="862" t="s">
        <v>2069</v>
      </c>
      <c r="C1286" s="1627">
        <v>60000</v>
      </c>
      <c r="D1286" s="1627"/>
      <c r="E1286" s="1627">
        <v>60000</v>
      </c>
      <c r="F1286" s="829"/>
      <c r="G1286" s="829">
        <f t="shared" si="69"/>
        <v>120000</v>
      </c>
    </row>
    <row r="1287" spans="1:7" ht="56.25" x14ac:dyDescent="0.3">
      <c r="A1287" s="1848"/>
      <c r="B1287" s="862" t="s">
        <v>2070</v>
      </c>
      <c r="C1287" s="1627">
        <v>20000</v>
      </c>
      <c r="D1287" s="1627">
        <v>20000</v>
      </c>
      <c r="E1287" s="1627"/>
      <c r="F1287" s="829"/>
      <c r="G1287" s="829">
        <f t="shared" si="69"/>
        <v>40000</v>
      </c>
    </row>
    <row r="1288" spans="1:7" ht="56.25" x14ac:dyDescent="0.3">
      <c r="A1288" s="1848"/>
      <c r="B1288" s="1628" t="s">
        <v>2227</v>
      </c>
      <c r="C1288" s="1625">
        <v>31044</v>
      </c>
      <c r="D1288" s="1625">
        <v>31044</v>
      </c>
      <c r="E1288" s="1625"/>
      <c r="F1288" s="829"/>
      <c r="G1288" s="829">
        <f t="shared" si="69"/>
        <v>62088</v>
      </c>
    </row>
    <row r="1289" spans="1:7" ht="56.25" x14ac:dyDescent="0.3">
      <c r="A1289" s="1848"/>
      <c r="B1289" s="1628" t="s">
        <v>2228</v>
      </c>
      <c r="C1289" s="1625">
        <v>191044</v>
      </c>
      <c r="D1289" s="1625"/>
      <c r="E1289" s="1625">
        <v>191044</v>
      </c>
      <c r="F1289" s="829"/>
      <c r="G1289" s="829">
        <f t="shared" ref="G1289:G1352" si="73">SUM(C1289:E1289)</f>
        <v>382088</v>
      </c>
    </row>
    <row r="1290" spans="1:7" ht="37.5" x14ac:dyDescent="0.3">
      <c r="A1290" s="1848"/>
      <c r="B1290" s="1628" t="s">
        <v>2229</v>
      </c>
      <c r="C1290" s="1558">
        <v>19008</v>
      </c>
      <c r="D1290" s="1558"/>
      <c r="E1290" s="1625">
        <v>19008</v>
      </c>
      <c r="F1290" s="829"/>
      <c r="G1290" s="829">
        <f t="shared" si="73"/>
        <v>38016</v>
      </c>
    </row>
    <row r="1291" spans="1:7" ht="37.5" x14ac:dyDescent="0.3">
      <c r="A1291" s="1848"/>
      <c r="B1291" s="1628" t="s">
        <v>2229</v>
      </c>
      <c r="C1291" s="1631">
        <v>8192</v>
      </c>
      <c r="D1291" s="1631"/>
      <c r="E1291" s="1625">
        <v>8192</v>
      </c>
      <c r="F1291" s="829"/>
      <c r="G1291" s="829">
        <f t="shared" si="73"/>
        <v>16384</v>
      </c>
    </row>
    <row r="1292" spans="1:7" hidden="1" x14ac:dyDescent="0.3">
      <c r="A1292" s="1848"/>
      <c r="B1292" s="984"/>
      <c r="C1292" s="1442"/>
      <c r="D1292" s="1442"/>
      <c r="E1292" s="1442"/>
      <c r="F1292" s="829"/>
      <c r="G1292" s="829">
        <f t="shared" si="73"/>
        <v>0</v>
      </c>
    </row>
    <row r="1293" spans="1:7" hidden="1" x14ac:dyDescent="0.3">
      <c r="A1293" s="1848"/>
      <c r="B1293" s="984"/>
      <c r="C1293" s="1442"/>
      <c r="D1293" s="1442"/>
      <c r="E1293" s="1442"/>
      <c r="F1293" s="829"/>
      <c r="G1293" s="829">
        <f t="shared" si="73"/>
        <v>0</v>
      </c>
    </row>
    <row r="1294" spans="1:7" hidden="1" x14ac:dyDescent="0.3">
      <c r="A1294" s="1848"/>
      <c r="B1294" s="984"/>
      <c r="C1294" s="1442"/>
      <c r="D1294" s="1442"/>
      <c r="E1294" s="1442"/>
      <c r="F1294" s="829"/>
      <c r="G1294" s="829">
        <f t="shared" si="73"/>
        <v>0</v>
      </c>
    </row>
    <row r="1295" spans="1:7" hidden="1" x14ac:dyDescent="0.3">
      <c r="A1295" s="1848"/>
      <c r="B1295" s="984"/>
      <c r="C1295" s="1442"/>
      <c r="D1295" s="1442"/>
      <c r="E1295" s="1442"/>
      <c r="F1295" s="829"/>
      <c r="G1295" s="829">
        <f t="shared" si="73"/>
        <v>0</v>
      </c>
    </row>
    <row r="1296" spans="1:7" hidden="1" x14ac:dyDescent="0.3">
      <c r="A1296" s="1848"/>
      <c r="B1296" s="984"/>
      <c r="C1296" s="1442"/>
      <c r="D1296" s="1442"/>
      <c r="E1296" s="1442"/>
      <c r="F1296" s="829"/>
      <c r="G1296" s="829">
        <f t="shared" si="73"/>
        <v>0</v>
      </c>
    </row>
    <row r="1297" spans="1:7" hidden="1" x14ac:dyDescent="0.3">
      <c r="A1297" s="1848"/>
      <c r="B1297" s="984"/>
      <c r="C1297" s="1442"/>
      <c r="D1297" s="1442"/>
      <c r="E1297" s="1442"/>
      <c r="F1297" s="829"/>
      <c r="G1297" s="829">
        <f t="shared" si="73"/>
        <v>0</v>
      </c>
    </row>
    <row r="1298" spans="1:7" hidden="1" x14ac:dyDescent="0.3">
      <c r="A1298" s="1848"/>
      <c r="B1298" s="984"/>
      <c r="C1298" s="1442"/>
      <c r="D1298" s="1442"/>
      <c r="E1298" s="1442"/>
      <c r="F1298" s="829"/>
      <c r="G1298" s="829">
        <f t="shared" si="73"/>
        <v>0</v>
      </c>
    </row>
    <row r="1299" spans="1:7" hidden="1" x14ac:dyDescent="0.3">
      <c r="A1299" s="1848"/>
      <c r="B1299" s="862"/>
      <c r="C1299" s="1438">
        <f>SUM(D1299:E1299)</f>
        <v>0</v>
      </c>
      <c r="D1299" s="1439"/>
      <c r="E1299" s="1440"/>
      <c r="F1299" s="829">
        <f t="shared" ref="F1299:F1328" si="74">E1299+D1299-C1299</f>
        <v>0</v>
      </c>
      <c r="G1299" s="829">
        <f t="shared" si="73"/>
        <v>0</v>
      </c>
    </row>
    <row r="1300" spans="1:7" hidden="1" x14ac:dyDescent="0.3">
      <c r="A1300" s="1848"/>
      <c r="B1300" s="862"/>
      <c r="C1300" s="1438">
        <f>SUM(D1300:E1300)</f>
        <v>0</v>
      </c>
      <c r="D1300" s="1439"/>
      <c r="E1300" s="1440"/>
      <c r="F1300" s="829">
        <f t="shared" si="74"/>
        <v>0</v>
      </c>
      <c r="G1300" s="829">
        <f t="shared" si="73"/>
        <v>0</v>
      </c>
    </row>
    <row r="1301" spans="1:7" hidden="1" x14ac:dyDescent="0.3">
      <c r="A1301" s="1848"/>
      <c r="B1301" s="862"/>
      <c r="C1301" s="1438">
        <f>SUM(D1301:E1301)</f>
        <v>0</v>
      </c>
      <c r="D1301" s="1439"/>
      <c r="E1301" s="1440"/>
      <c r="F1301" s="829">
        <f t="shared" si="74"/>
        <v>0</v>
      </c>
      <c r="G1301" s="829">
        <f t="shared" si="73"/>
        <v>0</v>
      </c>
    </row>
    <row r="1302" spans="1:7" x14ac:dyDescent="0.3">
      <c r="A1302" s="1848"/>
      <c r="B1302" s="862" t="s">
        <v>740</v>
      </c>
      <c r="C1302" s="1438">
        <f>SUM(C1278:C1301)</f>
        <v>1072044</v>
      </c>
      <c r="D1302" s="1438">
        <f>SUM(D1278:D1301)</f>
        <v>359844</v>
      </c>
      <c r="E1302" s="1438">
        <f>SUM(E1278:E1301)</f>
        <v>712200</v>
      </c>
      <c r="F1302" s="829">
        <f t="shared" si="74"/>
        <v>0</v>
      </c>
      <c r="G1302" s="829">
        <f t="shared" si="73"/>
        <v>2144088</v>
      </c>
    </row>
    <row r="1303" spans="1:7" ht="75" x14ac:dyDescent="0.3">
      <c r="A1303" s="1848" t="s">
        <v>1147</v>
      </c>
      <c r="B1303" s="507" t="s">
        <v>617</v>
      </c>
      <c r="C1303" s="1460">
        <v>7000</v>
      </c>
      <c r="D1303" s="1460">
        <v>7000</v>
      </c>
      <c r="E1303" s="1469"/>
      <c r="F1303" s="829">
        <f t="shared" si="74"/>
        <v>0</v>
      </c>
      <c r="G1303" s="829">
        <f t="shared" si="73"/>
        <v>14000</v>
      </c>
    </row>
    <row r="1304" spans="1:7" ht="168.75" x14ac:dyDescent="0.3">
      <c r="A1304" s="1848"/>
      <c r="B1304" s="1121" t="s">
        <v>1347</v>
      </c>
      <c r="C1304" s="1634">
        <v>190000</v>
      </c>
      <c r="D1304" s="1622"/>
      <c r="E1304" s="1440">
        <v>190000</v>
      </c>
      <c r="F1304" s="829">
        <f t="shared" si="74"/>
        <v>0</v>
      </c>
      <c r="G1304" s="829">
        <f t="shared" si="73"/>
        <v>380000</v>
      </c>
    </row>
    <row r="1305" spans="1:7" ht="37.5" x14ac:dyDescent="0.3">
      <c r="A1305" s="1848"/>
      <c r="B1305" s="1118" t="s">
        <v>1348</v>
      </c>
      <c r="C1305" s="1439">
        <v>110000</v>
      </c>
      <c r="D1305" s="1439"/>
      <c r="E1305" s="1439">
        <v>110000</v>
      </c>
      <c r="F1305" s="829">
        <f t="shared" si="74"/>
        <v>0</v>
      </c>
      <c r="G1305" s="829">
        <f t="shared" si="73"/>
        <v>220000</v>
      </c>
    </row>
    <row r="1306" spans="1:7" ht="56.25" x14ac:dyDescent="0.3">
      <c r="A1306" s="1848"/>
      <c r="B1306" s="1118" t="s">
        <v>1349</v>
      </c>
      <c r="C1306" s="1439">
        <v>49000</v>
      </c>
      <c r="D1306" s="1439"/>
      <c r="E1306" s="1439">
        <v>49000</v>
      </c>
      <c r="F1306" s="829">
        <f t="shared" si="74"/>
        <v>0</v>
      </c>
      <c r="G1306" s="829">
        <f t="shared" si="73"/>
        <v>98000</v>
      </c>
    </row>
    <row r="1307" spans="1:7" ht="56.25" x14ac:dyDescent="0.3">
      <c r="A1307" s="1848"/>
      <c r="B1307" s="1118" t="s">
        <v>1350</v>
      </c>
      <c r="C1307" s="1439">
        <v>20000</v>
      </c>
      <c r="D1307" s="1439"/>
      <c r="E1307" s="1439">
        <v>20000</v>
      </c>
      <c r="F1307" s="829">
        <f t="shared" si="74"/>
        <v>0</v>
      </c>
      <c r="G1307" s="829">
        <f t="shared" si="73"/>
        <v>40000</v>
      </c>
    </row>
    <row r="1308" spans="1:7" s="435" customFormat="1" ht="56.25" x14ac:dyDescent="0.3">
      <c r="A1308" s="1848"/>
      <c r="B1308" s="1118" t="s">
        <v>1351</v>
      </c>
      <c r="C1308" s="1439">
        <v>20000</v>
      </c>
      <c r="D1308" s="1439"/>
      <c r="E1308" s="1439">
        <v>20000</v>
      </c>
      <c r="F1308" s="829">
        <f t="shared" si="74"/>
        <v>0</v>
      </c>
      <c r="G1308" s="829">
        <f t="shared" si="73"/>
        <v>40000</v>
      </c>
    </row>
    <row r="1309" spans="1:7" s="435" customFormat="1" ht="75" x14ac:dyDescent="0.3">
      <c r="A1309" s="1848"/>
      <c r="B1309" s="1118" t="s">
        <v>1352</v>
      </c>
      <c r="C1309" s="1439">
        <v>11000</v>
      </c>
      <c r="D1309" s="1439">
        <v>11000</v>
      </c>
      <c r="E1309" s="1439"/>
      <c r="F1309" s="829">
        <f t="shared" si="74"/>
        <v>0</v>
      </c>
      <c r="G1309" s="829">
        <f t="shared" si="73"/>
        <v>22000</v>
      </c>
    </row>
    <row r="1310" spans="1:7" s="435" customFormat="1" ht="37.5" x14ac:dyDescent="0.3">
      <c r="A1310" s="1848"/>
      <c r="B1310" s="1118" t="s">
        <v>1353</v>
      </c>
      <c r="C1310" s="1439">
        <v>50000</v>
      </c>
      <c r="D1310" s="1439"/>
      <c r="E1310" s="1439">
        <v>50000</v>
      </c>
      <c r="F1310" s="829">
        <f t="shared" si="74"/>
        <v>0</v>
      </c>
      <c r="G1310" s="829">
        <f t="shared" si="73"/>
        <v>100000</v>
      </c>
    </row>
    <row r="1311" spans="1:7" s="435" customFormat="1" ht="37.5" x14ac:dyDescent="0.3">
      <c r="A1311" s="1848"/>
      <c r="B1311" s="1122" t="s">
        <v>1242</v>
      </c>
      <c r="C1311" s="1626">
        <v>40000</v>
      </c>
      <c r="D1311" s="1635"/>
      <c r="E1311" s="1439">
        <v>40000</v>
      </c>
      <c r="F1311" s="829">
        <f t="shared" si="74"/>
        <v>0</v>
      </c>
      <c r="G1311" s="829">
        <f t="shared" si="73"/>
        <v>80000</v>
      </c>
    </row>
    <row r="1312" spans="1:7" s="435" customFormat="1" ht="75" x14ac:dyDescent="0.3">
      <c r="A1312" s="1848"/>
      <c r="B1312" s="1122" t="s">
        <v>1354</v>
      </c>
      <c r="C1312" s="1622">
        <v>100000</v>
      </c>
      <c r="D1312" s="1440"/>
      <c r="E1312" s="1440">
        <v>100000</v>
      </c>
      <c r="F1312" s="829">
        <f t="shared" si="74"/>
        <v>0</v>
      </c>
      <c r="G1312" s="829">
        <f t="shared" si="73"/>
        <v>200000</v>
      </c>
    </row>
    <row r="1313" spans="1:7" s="435" customFormat="1" ht="56.25" x14ac:dyDescent="0.3">
      <c r="A1313" s="1848"/>
      <c r="B1313" s="862" t="s">
        <v>1530</v>
      </c>
      <c r="C1313" s="565">
        <v>10165</v>
      </c>
      <c r="D1313" s="565">
        <v>10165</v>
      </c>
      <c r="E1313" s="586"/>
      <c r="F1313" s="829">
        <f t="shared" si="74"/>
        <v>0</v>
      </c>
      <c r="G1313" s="829">
        <f t="shared" si="73"/>
        <v>20330</v>
      </c>
    </row>
    <row r="1314" spans="1:7" s="435" customFormat="1" ht="56.25" x14ac:dyDescent="0.3">
      <c r="A1314" s="1848"/>
      <c r="B1314" s="862" t="s">
        <v>1531</v>
      </c>
      <c r="C1314" s="565">
        <v>5000</v>
      </c>
      <c r="D1314" s="565">
        <v>5000</v>
      </c>
      <c r="E1314" s="586"/>
      <c r="F1314" s="829">
        <f t="shared" si="74"/>
        <v>0</v>
      </c>
      <c r="G1314" s="829">
        <f t="shared" si="73"/>
        <v>10000</v>
      </c>
    </row>
    <row r="1315" spans="1:7" s="435" customFormat="1" ht="75" x14ac:dyDescent="0.3">
      <c r="A1315" s="1848"/>
      <c r="B1315" s="862" t="s">
        <v>1532</v>
      </c>
      <c r="C1315" s="565">
        <v>15000</v>
      </c>
      <c r="D1315" s="565">
        <v>5000</v>
      </c>
      <c r="E1315" s="586">
        <v>10000</v>
      </c>
      <c r="F1315" s="829">
        <f t="shared" si="74"/>
        <v>0</v>
      </c>
      <c r="G1315" s="829">
        <f t="shared" si="73"/>
        <v>30000</v>
      </c>
    </row>
    <row r="1316" spans="1:7" s="435" customFormat="1" ht="37.5" x14ac:dyDescent="0.3">
      <c r="A1316" s="1848"/>
      <c r="B1316" s="862" t="s">
        <v>1533</v>
      </c>
      <c r="C1316" s="565">
        <v>6035</v>
      </c>
      <c r="D1316" s="565"/>
      <c r="E1316" s="586">
        <v>6035</v>
      </c>
      <c r="F1316" s="829">
        <f t="shared" si="74"/>
        <v>0</v>
      </c>
      <c r="G1316" s="829">
        <f t="shared" si="73"/>
        <v>12070</v>
      </c>
    </row>
    <row r="1317" spans="1:7" s="435" customFormat="1" ht="37.5" x14ac:dyDescent="0.3">
      <c r="A1317" s="1848"/>
      <c r="B1317" s="506" t="s">
        <v>1725</v>
      </c>
      <c r="C1317" s="1438">
        <v>300000</v>
      </c>
      <c r="D1317" s="565">
        <v>300000</v>
      </c>
      <c r="E1317" s="892"/>
      <c r="F1317" s="829">
        <f t="shared" si="74"/>
        <v>0</v>
      </c>
      <c r="G1317" s="829">
        <f t="shared" si="73"/>
        <v>600000</v>
      </c>
    </row>
    <row r="1318" spans="1:7" s="435" customFormat="1" ht="56.25" x14ac:dyDescent="0.3">
      <c r="A1318" s="1848"/>
      <c r="B1318" s="862" t="s">
        <v>1726</v>
      </c>
      <c r="C1318" s="1457">
        <v>49500</v>
      </c>
      <c r="D1318" s="1457"/>
      <c r="E1318" s="1457">
        <v>49500</v>
      </c>
      <c r="F1318" s="829">
        <f t="shared" si="74"/>
        <v>0</v>
      </c>
      <c r="G1318" s="829">
        <f t="shared" si="73"/>
        <v>99000</v>
      </c>
    </row>
    <row r="1319" spans="1:7" s="435" customFormat="1" ht="131.25" x14ac:dyDescent="0.3">
      <c r="A1319" s="1848"/>
      <c r="B1319" s="862" t="s">
        <v>1727</v>
      </c>
      <c r="C1319" s="1457">
        <v>49900</v>
      </c>
      <c r="D1319" s="1457"/>
      <c r="E1319" s="1457">
        <v>49900</v>
      </c>
      <c r="F1319" s="829">
        <f t="shared" si="74"/>
        <v>0</v>
      </c>
      <c r="G1319" s="829">
        <f t="shared" si="73"/>
        <v>99800</v>
      </c>
    </row>
    <row r="1320" spans="1:7" s="435" customFormat="1" ht="75" x14ac:dyDescent="0.3">
      <c r="A1320" s="1848"/>
      <c r="B1320" s="862" t="s">
        <v>1728</v>
      </c>
      <c r="C1320" s="1457">
        <v>11999</v>
      </c>
      <c r="D1320" s="1457"/>
      <c r="E1320" s="1457">
        <v>11999</v>
      </c>
      <c r="F1320" s="829">
        <f t="shared" si="74"/>
        <v>0</v>
      </c>
      <c r="G1320" s="829">
        <f t="shared" si="73"/>
        <v>23998</v>
      </c>
    </row>
    <row r="1321" spans="1:7" s="435" customFormat="1" ht="75" x14ac:dyDescent="0.3">
      <c r="A1321" s="1848"/>
      <c r="B1321" s="862" t="s">
        <v>1729</v>
      </c>
      <c r="C1321" s="1457">
        <v>36401</v>
      </c>
      <c r="D1321" s="1457"/>
      <c r="E1321" s="1457">
        <v>36401</v>
      </c>
      <c r="F1321" s="829">
        <f t="shared" si="74"/>
        <v>0</v>
      </c>
      <c r="G1321" s="829">
        <f t="shared" si="73"/>
        <v>72802</v>
      </c>
    </row>
    <row r="1322" spans="1:7" s="435" customFormat="1" ht="168.75" x14ac:dyDescent="0.3">
      <c r="A1322" s="1848"/>
      <c r="B1322" s="507" t="s">
        <v>1917</v>
      </c>
      <c r="C1322" s="1439">
        <f>SUM(D1322:E1322)</f>
        <v>6000</v>
      </c>
      <c r="D1322" s="1439">
        <v>6000</v>
      </c>
      <c r="E1322" s="1440"/>
      <c r="F1322" s="829">
        <f t="shared" si="74"/>
        <v>0</v>
      </c>
      <c r="G1322" s="829">
        <f t="shared" si="73"/>
        <v>12000</v>
      </c>
    </row>
    <row r="1323" spans="1:7" s="435" customFormat="1" ht="93.75" x14ac:dyDescent="0.3">
      <c r="A1323" s="1848"/>
      <c r="B1323" s="1655" t="s">
        <v>2302</v>
      </c>
      <c r="C1323" s="882">
        <v>113395</v>
      </c>
      <c r="D1323" s="882">
        <v>62200</v>
      </c>
      <c r="E1323" s="882">
        <v>51195</v>
      </c>
      <c r="F1323" s="829">
        <f t="shared" si="74"/>
        <v>0</v>
      </c>
      <c r="G1323" s="829">
        <f t="shared" si="73"/>
        <v>226790</v>
      </c>
    </row>
    <row r="1324" spans="1:7" s="435" customFormat="1" ht="56.25" x14ac:dyDescent="0.3">
      <c r="A1324" s="1848"/>
      <c r="B1324" s="1655" t="s">
        <v>1938</v>
      </c>
      <c r="C1324" s="882">
        <v>4000</v>
      </c>
      <c r="D1324" s="882">
        <v>4000</v>
      </c>
      <c r="E1324" s="883"/>
      <c r="F1324" s="829">
        <f t="shared" si="74"/>
        <v>0</v>
      </c>
      <c r="G1324" s="829">
        <f t="shared" si="73"/>
        <v>8000</v>
      </c>
    </row>
    <row r="1325" spans="1:7" s="435" customFormat="1" ht="37.5" x14ac:dyDescent="0.3">
      <c r="A1325" s="1848"/>
      <c r="B1325" s="1655" t="s">
        <v>2303</v>
      </c>
      <c r="C1325" s="882">
        <v>49900</v>
      </c>
      <c r="D1325" s="882">
        <v>49900</v>
      </c>
      <c r="E1325" s="883"/>
      <c r="F1325" s="829">
        <f t="shared" si="74"/>
        <v>0</v>
      </c>
      <c r="G1325" s="829">
        <f t="shared" si="73"/>
        <v>99800</v>
      </c>
    </row>
    <row r="1326" spans="1:7" s="435" customFormat="1" ht="56.25" x14ac:dyDescent="0.3">
      <c r="A1326" s="1848"/>
      <c r="B1326" s="1655" t="s">
        <v>1939</v>
      </c>
      <c r="C1326" s="882">
        <v>49900</v>
      </c>
      <c r="D1326" s="882"/>
      <c r="E1326" s="883">
        <v>49900</v>
      </c>
      <c r="F1326" s="829">
        <f t="shared" si="74"/>
        <v>0</v>
      </c>
      <c r="G1326" s="829">
        <f t="shared" si="73"/>
        <v>99800</v>
      </c>
    </row>
    <row r="1327" spans="1:7" s="435" customFormat="1" ht="56.25" x14ac:dyDescent="0.3">
      <c r="A1327" s="1848"/>
      <c r="B1327" s="1655" t="s">
        <v>1940</v>
      </c>
      <c r="C1327" s="882">
        <v>26100</v>
      </c>
      <c r="D1327" s="882"/>
      <c r="E1327" s="883">
        <v>26100</v>
      </c>
      <c r="F1327" s="829">
        <f t="shared" si="74"/>
        <v>0</v>
      </c>
      <c r="G1327" s="829">
        <f t="shared" si="73"/>
        <v>52200</v>
      </c>
    </row>
    <row r="1328" spans="1:7" s="435" customFormat="1" ht="37.5" x14ac:dyDescent="0.3">
      <c r="A1328" s="1848"/>
      <c r="B1328" s="1655" t="s">
        <v>1941</v>
      </c>
      <c r="C1328" s="882">
        <v>6705</v>
      </c>
      <c r="D1328" s="882"/>
      <c r="E1328" s="883">
        <v>6705</v>
      </c>
      <c r="F1328" s="829">
        <f t="shared" si="74"/>
        <v>0</v>
      </c>
      <c r="G1328" s="829">
        <f t="shared" si="73"/>
        <v>13410</v>
      </c>
    </row>
    <row r="1329" spans="1:7" s="435" customFormat="1" ht="56.25" x14ac:dyDescent="0.3">
      <c r="A1329" s="1848"/>
      <c r="B1329" s="506" t="s">
        <v>2077</v>
      </c>
      <c r="C1329" s="565">
        <v>40000</v>
      </c>
      <c r="D1329" s="565"/>
      <c r="E1329" s="586">
        <v>40000</v>
      </c>
      <c r="F1329" s="829">
        <f t="shared" ref="F1329:F1350" si="75">E1329+D1329-C1329</f>
        <v>0</v>
      </c>
      <c r="G1329" s="829">
        <f t="shared" si="73"/>
        <v>80000</v>
      </c>
    </row>
    <row r="1330" spans="1:7" s="435" customFormat="1" ht="112.5" x14ac:dyDescent="0.3">
      <c r="A1330" s="1848"/>
      <c r="B1330" s="506" t="s">
        <v>2304</v>
      </c>
      <c r="C1330" s="565">
        <v>463800</v>
      </c>
      <c r="D1330" s="565"/>
      <c r="E1330" s="586">
        <v>463800</v>
      </c>
      <c r="F1330" s="829">
        <f t="shared" si="75"/>
        <v>0</v>
      </c>
      <c r="G1330" s="829">
        <f t="shared" si="73"/>
        <v>927600</v>
      </c>
    </row>
    <row r="1331" spans="1:7" s="435" customFormat="1" ht="75" x14ac:dyDescent="0.3">
      <c r="A1331" s="1848"/>
      <c r="B1331" s="506" t="s">
        <v>1995</v>
      </c>
      <c r="C1331" s="565">
        <v>23800</v>
      </c>
      <c r="D1331" s="565">
        <v>23800</v>
      </c>
      <c r="E1331" s="586"/>
      <c r="F1331" s="829">
        <f t="shared" si="75"/>
        <v>0</v>
      </c>
      <c r="G1331" s="829">
        <f t="shared" si="73"/>
        <v>47600</v>
      </c>
    </row>
    <row r="1332" spans="1:7" s="435" customFormat="1" ht="93.75" x14ac:dyDescent="0.3">
      <c r="A1332" s="1848"/>
      <c r="B1332" s="862" t="s">
        <v>2071</v>
      </c>
      <c r="C1332" s="1627">
        <v>49900</v>
      </c>
      <c r="D1332" s="1627"/>
      <c r="E1332" s="1627">
        <v>49900</v>
      </c>
      <c r="F1332" s="829">
        <f t="shared" si="75"/>
        <v>0</v>
      </c>
      <c r="G1332" s="829">
        <f t="shared" si="73"/>
        <v>99800</v>
      </c>
    </row>
    <row r="1333" spans="1:7" s="435" customFormat="1" ht="112.5" x14ac:dyDescent="0.3">
      <c r="A1333" s="1848"/>
      <c r="B1333" s="862" t="s">
        <v>2072</v>
      </c>
      <c r="C1333" s="1627">
        <v>108956</v>
      </c>
      <c r="D1333" s="1627"/>
      <c r="E1333" s="1627">
        <v>108956</v>
      </c>
      <c r="F1333" s="829">
        <f t="shared" si="75"/>
        <v>0</v>
      </c>
      <c r="G1333" s="829">
        <f t="shared" si="73"/>
        <v>217912</v>
      </c>
    </row>
    <row r="1334" spans="1:7" s="435" customFormat="1" ht="75" x14ac:dyDescent="0.3">
      <c r="A1334" s="1848"/>
      <c r="B1334" s="862" t="s">
        <v>2073</v>
      </c>
      <c r="C1334" s="1627">
        <v>9156</v>
      </c>
      <c r="D1334" s="1627">
        <v>9156</v>
      </c>
      <c r="E1334" s="1627"/>
      <c r="F1334" s="829">
        <f t="shared" si="75"/>
        <v>0</v>
      </c>
      <c r="G1334" s="829">
        <f t="shared" si="73"/>
        <v>18312</v>
      </c>
    </row>
    <row r="1335" spans="1:7" s="435" customFormat="1" ht="75" x14ac:dyDescent="0.3">
      <c r="A1335" s="1848"/>
      <c r="B1335" s="1623" t="s">
        <v>2230</v>
      </c>
      <c r="C1335" s="1625">
        <v>86044</v>
      </c>
      <c r="D1335" s="1625">
        <v>10000</v>
      </c>
      <c r="E1335" s="1625">
        <v>76044</v>
      </c>
      <c r="F1335" s="829">
        <f t="shared" si="75"/>
        <v>0</v>
      </c>
      <c r="G1335" s="829">
        <f t="shared" si="73"/>
        <v>172088</v>
      </c>
    </row>
    <row r="1336" spans="1:7" s="435" customFormat="1" ht="112.5" x14ac:dyDescent="0.3">
      <c r="A1336" s="1848"/>
      <c r="B1336" s="1628" t="s">
        <v>2231</v>
      </c>
      <c r="C1336" s="1625">
        <v>15000</v>
      </c>
      <c r="D1336" s="1625"/>
      <c r="E1336" s="1625">
        <v>15000</v>
      </c>
      <c r="F1336" s="829">
        <f t="shared" si="75"/>
        <v>0</v>
      </c>
      <c r="G1336" s="829">
        <f t="shared" si="73"/>
        <v>30000</v>
      </c>
    </row>
    <row r="1337" spans="1:7" s="435" customFormat="1" ht="112.5" x14ac:dyDescent="0.3">
      <c r="A1337" s="1848"/>
      <c r="B1337" s="1623" t="s">
        <v>2232</v>
      </c>
      <c r="C1337" s="1625">
        <v>227244</v>
      </c>
      <c r="D1337" s="1625"/>
      <c r="E1337" s="1625">
        <v>227244</v>
      </c>
      <c r="F1337" s="829">
        <f t="shared" si="75"/>
        <v>0</v>
      </c>
      <c r="G1337" s="829">
        <f t="shared" si="73"/>
        <v>454488</v>
      </c>
    </row>
    <row r="1338" spans="1:7" s="435" customFormat="1" ht="56.25" x14ac:dyDescent="0.3">
      <c r="A1338" s="1848"/>
      <c r="B1338" s="1628" t="s">
        <v>2233</v>
      </c>
      <c r="C1338" s="1625">
        <v>49980</v>
      </c>
      <c r="D1338" s="1625">
        <v>43980</v>
      </c>
      <c r="E1338" s="1625">
        <v>6000</v>
      </c>
      <c r="F1338" s="829">
        <f t="shared" si="75"/>
        <v>0</v>
      </c>
      <c r="G1338" s="829">
        <f t="shared" si="73"/>
        <v>99960</v>
      </c>
    </row>
    <row r="1339" spans="1:7" s="435" customFormat="1" ht="93.75" x14ac:dyDescent="0.3">
      <c r="A1339" s="1848"/>
      <c r="B1339" s="1628" t="s">
        <v>2234</v>
      </c>
      <c r="C1339" s="1625">
        <v>49993</v>
      </c>
      <c r="D1339" s="1625">
        <v>3906</v>
      </c>
      <c r="E1339" s="1625">
        <v>46087</v>
      </c>
      <c r="F1339" s="829">
        <f t="shared" si="75"/>
        <v>0</v>
      </c>
      <c r="G1339" s="829">
        <f t="shared" si="73"/>
        <v>99986</v>
      </c>
    </row>
    <row r="1340" spans="1:7" s="435" customFormat="1" ht="75" x14ac:dyDescent="0.3">
      <c r="A1340" s="1848"/>
      <c r="B1340" s="1623" t="s">
        <v>2235</v>
      </c>
      <c r="C1340" s="892">
        <v>40000</v>
      </c>
      <c r="D1340" s="586">
        <v>40000</v>
      </c>
      <c r="E1340" s="586"/>
      <c r="F1340" s="829">
        <f t="shared" si="75"/>
        <v>0</v>
      </c>
      <c r="G1340" s="829">
        <f t="shared" si="73"/>
        <v>80000</v>
      </c>
    </row>
    <row r="1341" spans="1:7" s="435" customFormat="1" hidden="1" x14ac:dyDescent="0.3">
      <c r="A1341" s="1848"/>
      <c r="B1341" s="1426"/>
      <c r="C1341" s="599"/>
      <c r="D1341" s="903"/>
      <c r="E1341" s="903"/>
      <c r="F1341" s="829"/>
      <c r="G1341" s="829">
        <f t="shared" si="73"/>
        <v>0</v>
      </c>
    </row>
    <row r="1342" spans="1:7" s="435" customFormat="1" hidden="1" x14ac:dyDescent="0.3">
      <c r="A1342" s="1848"/>
      <c r="B1342" s="1426"/>
      <c r="C1342" s="599"/>
      <c r="D1342" s="903"/>
      <c r="E1342" s="903"/>
      <c r="F1342" s="829"/>
      <c r="G1342" s="829">
        <f t="shared" si="73"/>
        <v>0</v>
      </c>
    </row>
    <row r="1343" spans="1:7" s="435" customFormat="1" hidden="1" x14ac:dyDescent="0.3">
      <c r="A1343" s="1848"/>
      <c r="B1343" s="1426"/>
      <c r="C1343" s="599"/>
      <c r="D1343" s="903"/>
      <c r="E1343" s="903"/>
      <c r="F1343" s="829"/>
      <c r="G1343" s="829">
        <f t="shared" si="73"/>
        <v>0</v>
      </c>
    </row>
    <row r="1344" spans="1:7" s="435" customFormat="1" hidden="1" x14ac:dyDescent="0.3">
      <c r="A1344" s="1848"/>
      <c r="B1344" s="1426"/>
      <c r="C1344" s="599"/>
      <c r="D1344" s="903"/>
      <c r="E1344" s="903"/>
      <c r="F1344" s="829"/>
      <c r="G1344" s="829">
        <f t="shared" si="73"/>
        <v>0</v>
      </c>
    </row>
    <row r="1345" spans="1:7" s="435" customFormat="1" x14ac:dyDescent="0.3">
      <c r="A1345" s="1848"/>
      <c r="B1345" s="862" t="s">
        <v>740</v>
      </c>
      <c r="C1345" s="1438">
        <f>SUM(C1303:C1340)</f>
        <v>2500873</v>
      </c>
      <c r="D1345" s="1438">
        <f>SUM(D1303:D1340)</f>
        <v>591107</v>
      </c>
      <c r="E1345" s="1438">
        <f>SUM(E1303:E1340)</f>
        <v>1909766</v>
      </c>
      <c r="F1345" s="829">
        <f t="shared" si="75"/>
        <v>0</v>
      </c>
      <c r="G1345" s="829">
        <f t="shared" si="73"/>
        <v>5001746</v>
      </c>
    </row>
    <row r="1346" spans="1:7" ht="75" x14ac:dyDescent="0.3">
      <c r="A1346" s="1848" t="s">
        <v>1149</v>
      </c>
      <c r="B1346" s="507" t="s">
        <v>617</v>
      </c>
      <c r="C1346" s="1460">
        <v>2300</v>
      </c>
      <c r="D1346" s="1460">
        <v>2300</v>
      </c>
      <c r="E1346" s="1469"/>
      <c r="F1346" s="829">
        <f t="shared" si="75"/>
        <v>0</v>
      </c>
      <c r="G1346" s="829">
        <f t="shared" si="73"/>
        <v>4600</v>
      </c>
    </row>
    <row r="1347" spans="1:7" s="435" customFormat="1" ht="37.5" x14ac:dyDescent="0.3">
      <c r="A1347" s="1848"/>
      <c r="B1347" s="1118" t="s">
        <v>1363</v>
      </c>
      <c r="C1347" s="1439">
        <v>50000</v>
      </c>
      <c r="D1347" s="1439">
        <f>50000-50000</f>
        <v>0</v>
      </c>
      <c r="E1347" s="1439">
        <v>50000</v>
      </c>
      <c r="F1347" s="829">
        <f t="shared" si="75"/>
        <v>0</v>
      </c>
      <c r="G1347" s="829">
        <f t="shared" si="73"/>
        <v>100000</v>
      </c>
    </row>
    <row r="1348" spans="1:7" s="435" customFormat="1" ht="37.5" x14ac:dyDescent="0.3">
      <c r="A1348" s="1848"/>
      <c r="B1348" s="1122" t="s">
        <v>1364</v>
      </c>
      <c r="C1348" s="1633">
        <f>60000-10320</f>
        <v>49680</v>
      </c>
      <c r="D1348" s="1622">
        <f>60000-10320</f>
        <v>49680</v>
      </c>
      <c r="E1348" s="1440"/>
      <c r="F1348" s="829">
        <f t="shared" si="75"/>
        <v>0</v>
      </c>
      <c r="G1348" s="829">
        <f t="shared" si="73"/>
        <v>99360</v>
      </c>
    </row>
    <row r="1349" spans="1:7" s="435" customFormat="1" ht="37.5" x14ac:dyDescent="0.3">
      <c r="A1349" s="1848"/>
      <c r="B1349" s="862" t="s">
        <v>1557</v>
      </c>
      <c r="C1349" s="565">
        <v>10320</v>
      </c>
      <c r="D1349" s="565">
        <v>10320</v>
      </c>
      <c r="E1349" s="586"/>
      <c r="F1349" s="829">
        <f t="shared" si="75"/>
        <v>0</v>
      </c>
      <c r="G1349" s="829">
        <f t="shared" si="73"/>
        <v>20640</v>
      </c>
    </row>
    <row r="1350" spans="1:7" s="435" customFormat="1" ht="75" x14ac:dyDescent="0.3">
      <c r="A1350" s="1848"/>
      <c r="B1350" s="506" t="s">
        <v>1730</v>
      </c>
      <c r="C1350" s="1438">
        <f>SUM(D1350:E1350)</f>
        <v>50000</v>
      </c>
      <c r="D1350" s="565">
        <v>50000</v>
      </c>
      <c r="E1350" s="892"/>
      <c r="F1350" s="829">
        <f t="shared" si="75"/>
        <v>0</v>
      </c>
      <c r="G1350" s="829">
        <f t="shared" si="73"/>
        <v>100000</v>
      </c>
    </row>
    <row r="1351" spans="1:7" s="435" customFormat="1" ht="93.75" x14ac:dyDescent="0.3">
      <c r="A1351" s="1848"/>
      <c r="B1351" s="1641" t="s">
        <v>1869</v>
      </c>
      <c r="C1351" s="565">
        <f>D1351+E1351</f>
        <v>120800</v>
      </c>
      <c r="D1351" s="565"/>
      <c r="E1351" s="586">
        <v>120800</v>
      </c>
      <c r="F1351" s="829">
        <f t="shared" ref="F1351:F1356" si="76">E1351+D1351-C1351</f>
        <v>0</v>
      </c>
      <c r="G1351" s="829">
        <f t="shared" si="73"/>
        <v>241600</v>
      </c>
    </row>
    <row r="1352" spans="1:7" s="435" customFormat="1" ht="75" x14ac:dyDescent="0.3">
      <c r="A1352" s="1848"/>
      <c r="B1352" s="1628" t="s">
        <v>2236</v>
      </c>
      <c r="C1352" s="1640">
        <v>50000</v>
      </c>
      <c r="D1352" s="1625">
        <v>50000</v>
      </c>
      <c r="E1352" s="1625"/>
      <c r="F1352" s="829">
        <f t="shared" si="76"/>
        <v>0</v>
      </c>
      <c r="G1352" s="829">
        <f t="shared" si="73"/>
        <v>100000</v>
      </c>
    </row>
    <row r="1353" spans="1:7" s="435" customFormat="1" hidden="1" x14ac:dyDescent="0.3">
      <c r="A1353" s="1848"/>
      <c r="B1353" s="862"/>
      <c r="C1353" s="1438">
        <f t="shared" ref="C1353:C1366" si="77">SUM(D1353:E1353)</f>
        <v>0</v>
      </c>
      <c r="D1353" s="1439"/>
      <c r="E1353" s="1440"/>
      <c r="F1353" s="829">
        <f t="shared" si="76"/>
        <v>0</v>
      </c>
      <c r="G1353" s="829">
        <f t="shared" ref="G1353:G1368" si="78">SUM(C1353:E1353)</f>
        <v>0</v>
      </c>
    </row>
    <row r="1354" spans="1:7" s="435" customFormat="1" hidden="1" x14ac:dyDescent="0.3">
      <c r="A1354" s="1848"/>
      <c r="B1354" s="862"/>
      <c r="C1354" s="1438">
        <f t="shared" si="77"/>
        <v>0</v>
      </c>
      <c r="D1354" s="1439"/>
      <c r="E1354" s="1440"/>
      <c r="F1354" s="829">
        <f t="shared" si="76"/>
        <v>0</v>
      </c>
      <c r="G1354" s="829">
        <f t="shared" si="78"/>
        <v>0</v>
      </c>
    </row>
    <row r="1355" spans="1:7" s="435" customFormat="1" hidden="1" x14ac:dyDescent="0.3">
      <c r="A1355" s="1848"/>
      <c r="B1355" s="862"/>
      <c r="C1355" s="1438">
        <f t="shared" si="77"/>
        <v>0</v>
      </c>
      <c r="D1355" s="1439"/>
      <c r="E1355" s="1440"/>
      <c r="F1355" s="829">
        <f t="shared" si="76"/>
        <v>0</v>
      </c>
      <c r="G1355" s="829">
        <f t="shared" si="78"/>
        <v>0</v>
      </c>
    </row>
    <row r="1356" spans="1:7" s="435" customFormat="1" x14ac:dyDescent="0.3">
      <c r="A1356" s="1848"/>
      <c r="B1356" s="862" t="s">
        <v>740</v>
      </c>
      <c r="C1356" s="1438">
        <f>SUM(C1346:C1355)</f>
        <v>333100</v>
      </c>
      <c r="D1356" s="1438">
        <f>SUM(D1346:D1355)</f>
        <v>162300</v>
      </c>
      <c r="E1356" s="1438">
        <f>SUM(E1346:E1355)</f>
        <v>170800</v>
      </c>
      <c r="F1356" s="829">
        <f t="shared" si="76"/>
        <v>0</v>
      </c>
      <c r="G1356" s="829">
        <f t="shared" si="78"/>
        <v>666200</v>
      </c>
    </row>
    <row r="1357" spans="1:7" s="435" customFormat="1" ht="56.25" hidden="1" x14ac:dyDescent="0.3">
      <c r="A1357" s="1848" t="s">
        <v>168</v>
      </c>
      <c r="B1357" s="507" t="s">
        <v>1177</v>
      </c>
      <c r="C1357" s="1438">
        <f t="shared" si="77"/>
        <v>0</v>
      </c>
      <c r="D1357" s="1460"/>
      <c r="E1357" s="1469">
        <f>808400-808400</f>
        <v>0</v>
      </c>
      <c r="F1357" s="829">
        <f t="shared" ref="F1357:F1368" si="79">E1357+D1357-C1357</f>
        <v>0</v>
      </c>
      <c r="G1357" s="829">
        <f t="shared" si="78"/>
        <v>0</v>
      </c>
    </row>
    <row r="1358" spans="1:7" s="435" customFormat="1" ht="37.5" x14ac:dyDescent="0.3">
      <c r="A1358" s="1848"/>
      <c r="B1358" s="862" t="s">
        <v>1365</v>
      </c>
      <c r="C1358" s="1438">
        <f t="shared" si="77"/>
        <v>166805</v>
      </c>
      <c r="D1358" s="1438">
        <f>2672000-969811-500000-500000+5041901-463800-1141260+450000-4263230-279900+120905</f>
        <v>166805</v>
      </c>
      <c r="E1358" s="1438"/>
      <c r="F1358" s="829">
        <f t="shared" si="79"/>
        <v>0</v>
      </c>
      <c r="G1358" s="829">
        <f t="shared" si="78"/>
        <v>333610</v>
      </c>
    </row>
    <row r="1359" spans="1:7" s="435" customFormat="1" ht="93.75" x14ac:dyDescent="0.3">
      <c r="A1359" s="1848"/>
      <c r="B1359" s="862" t="s">
        <v>1406</v>
      </c>
      <c r="C1359" s="1438">
        <f t="shared" si="77"/>
        <v>379999</v>
      </c>
      <c r="D1359" s="1438">
        <f>862753-32000-830753+379999</f>
        <v>379999</v>
      </c>
      <c r="E1359" s="1438"/>
      <c r="F1359" s="829">
        <f t="shared" si="79"/>
        <v>0</v>
      </c>
      <c r="G1359" s="829">
        <f t="shared" si="78"/>
        <v>759998</v>
      </c>
    </row>
    <row r="1360" spans="1:7" s="435" customFormat="1" ht="262.5" x14ac:dyDescent="0.3">
      <c r="A1360" s="1848"/>
      <c r="B1360" s="507" t="s">
        <v>1918</v>
      </c>
      <c r="C1360" s="1439">
        <f>D1360</f>
        <v>30000</v>
      </c>
      <c r="D1360" s="1439">
        <f>42000-12000</f>
        <v>30000</v>
      </c>
      <c r="E1360" s="1439"/>
      <c r="F1360" s="829">
        <f t="shared" si="79"/>
        <v>0</v>
      </c>
      <c r="G1360" s="829">
        <f t="shared" si="78"/>
        <v>60000</v>
      </c>
    </row>
    <row r="1361" spans="1:7" s="435" customFormat="1" hidden="1" x14ac:dyDescent="0.3">
      <c r="A1361" s="1848"/>
      <c r="B1361" s="862"/>
      <c r="C1361" s="1438">
        <f t="shared" si="77"/>
        <v>0</v>
      </c>
      <c r="D1361" s="1439"/>
      <c r="E1361" s="1440"/>
      <c r="F1361" s="829">
        <f t="shared" si="79"/>
        <v>0</v>
      </c>
      <c r="G1361" s="829">
        <f t="shared" si="78"/>
        <v>0</v>
      </c>
    </row>
    <row r="1362" spans="1:7" s="435" customFormat="1" hidden="1" x14ac:dyDescent="0.3">
      <c r="A1362" s="1848"/>
      <c r="B1362" s="862"/>
      <c r="C1362" s="1438">
        <f t="shared" si="77"/>
        <v>0</v>
      </c>
      <c r="D1362" s="1439"/>
      <c r="E1362" s="1440"/>
      <c r="F1362" s="829">
        <f t="shared" si="79"/>
        <v>0</v>
      </c>
      <c r="G1362" s="829">
        <f t="shared" si="78"/>
        <v>0</v>
      </c>
    </row>
    <row r="1363" spans="1:7" s="435" customFormat="1" hidden="1" x14ac:dyDescent="0.3">
      <c r="A1363" s="1848"/>
      <c r="B1363" s="862"/>
      <c r="C1363" s="1438">
        <f t="shared" si="77"/>
        <v>0</v>
      </c>
      <c r="D1363" s="1439"/>
      <c r="E1363" s="1440"/>
      <c r="F1363" s="829">
        <f t="shared" si="79"/>
        <v>0</v>
      </c>
      <c r="G1363" s="829">
        <f t="shared" si="78"/>
        <v>0</v>
      </c>
    </row>
    <row r="1364" spans="1:7" s="435" customFormat="1" hidden="1" x14ac:dyDescent="0.3">
      <c r="A1364" s="1848"/>
      <c r="B1364" s="862"/>
      <c r="C1364" s="1438">
        <f t="shared" si="77"/>
        <v>0</v>
      </c>
      <c r="D1364" s="1439"/>
      <c r="E1364" s="1440"/>
      <c r="F1364" s="829">
        <f t="shared" si="79"/>
        <v>0</v>
      </c>
      <c r="G1364" s="829">
        <f t="shared" si="78"/>
        <v>0</v>
      </c>
    </row>
    <row r="1365" spans="1:7" s="435" customFormat="1" hidden="1" x14ac:dyDescent="0.3">
      <c r="A1365" s="1848"/>
      <c r="B1365" s="862"/>
      <c r="C1365" s="1438">
        <f t="shared" si="77"/>
        <v>0</v>
      </c>
      <c r="D1365" s="1439"/>
      <c r="E1365" s="1440"/>
      <c r="F1365" s="829">
        <f t="shared" si="79"/>
        <v>0</v>
      </c>
      <c r="G1365" s="829">
        <f t="shared" si="78"/>
        <v>0</v>
      </c>
    </row>
    <row r="1366" spans="1:7" s="435" customFormat="1" hidden="1" x14ac:dyDescent="0.3">
      <c r="A1366" s="1848"/>
      <c r="B1366" s="862"/>
      <c r="C1366" s="1438">
        <f t="shared" si="77"/>
        <v>0</v>
      </c>
      <c r="D1366" s="1439"/>
      <c r="E1366" s="1440"/>
      <c r="F1366" s="829">
        <f t="shared" si="79"/>
        <v>0</v>
      </c>
      <c r="G1366" s="829">
        <f t="shared" si="78"/>
        <v>0</v>
      </c>
    </row>
    <row r="1367" spans="1:7" s="435" customFormat="1" x14ac:dyDescent="0.3">
      <c r="A1367" s="1848"/>
      <c r="B1367" s="862" t="s">
        <v>740</v>
      </c>
      <c r="C1367" s="1438">
        <f>SUM(C1357:C1366)</f>
        <v>576804</v>
      </c>
      <c r="D1367" s="1438">
        <f>SUM(D1357:D1366)</f>
        <v>576804</v>
      </c>
      <c r="E1367" s="1438">
        <f>SUM(E1357:E1366)</f>
        <v>0</v>
      </c>
      <c r="F1367" s="829">
        <f t="shared" si="79"/>
        <v>0</v>
      </c>
      <c r="G1367" s="829">
        <f t="shared" si="78"/>
        <v>1153608</v>
      </c>
    </row>
    <row r="1368" spans="1:7" s="435" customFormat="1" x14ac:dyDescent="0.3">
      <c r="A1368" s="846"/>
      <c r="B1368" s="1067" t="s">
        <v>1210</v>
      </c>
      <c r="C1368" s="1454">
        <f>C18+C29+C40+C51+C62+C73+C84+C95+C106+C117+C133+C159+C219+C230+C241+C252+C289+C300+C311+C331+C342+C353+C364+C375+C386+C397+C418+C442+C473+C488+C499+C523+C563+C574+C585+C601+C638+C663+C682+C731+C742+C753+C764+C775+C786+C807+C835+C846+C941+C972+C982+C993+C1004+C1015+C1055+C1066+C1077+C1088+C1099+C1154+C1183+C1238+C1277+C1302+C1345+C1356+C1367</f>
        <v>97906909</v>
      </c>
      <c r="D1368" s="1454">
        <f>D18+D29+D40+D51+D62+D73+D84+D95+D106+D117+D133+D159+D219+D230+D241+D252+D289+D300+D311+D331+D342+D353+D364+D375+D386+D397+D418+D442+D473+D488+D499+D523+D563+D574+D585+D601+D638+D663+D682+D731+D742+D753+D764+D775+D786+D807+D835+D846+D941+D972+D982+D993+D1004+D1015+D1055+D1066+D1077+D1088+D1099+D1154+D1183+D1238+D1277+D1302+D1345+D1356+D1367</f>
        <v>35500413</v>
      </c>
      <c r="E1368" s="1454">
        <f>E18+E29+E40+E51+E62+E73+E84+E95+E106+E117+E133+E159+E219+E230+E241+E252+E289+E300+E311+E331+E342+E353+E364+E375+E386+E397+E418+E442+E473+E488+E499+E523+E563+E574+E585+E601+E638+E663+E682+E731+E742+E753+E764+E775+E786+E807+E835+E846+E941+E972+E982+E993+E1004+E1015+E1055+E1066+E1077+E1088+E1099+E1154+E1183+E1238+E1277+E1302+E1345+E1356+E1367</f>
        <v>62406496</v>
      </c>
      <c r="F1368" s="829">
        <f t="shared" si="79"/>
        <v>0</v>
      </c>
      <c r="G1368" s="829">
        <f t="shared" si="78"/>
        <v>195813818</v>
      </c>
    </row>
    <row r="1369" spans="1:7" x14ac:dyDescent="0.3">
      <c r="G1369" s="830">
        <v>1</v>
      </c>
    </row>
    <row r="1370" spans="1:7" x14ac:dyDescent="0.3">
      <c r="A1370" s="1509" t="s">
        <v>174</v>
      </c>
      <c r="B1370" s="1656"/>
      <c r="C1370" s="1657"/>
      <c r="D1370" s="369"/>
      <c r="E1370" s="1658" t="s">
        <v>1171</v>
      </c>
      <c r="G1370" s="830">
        <v>1</v>
      </c>
    </row>
    <row r="1371" spans="1:7" x14ac:dyDescent="0.3">
      <c r="G1371" s="830">
        <v>1</v>
      </c>
    </row>
    <row r="1372" spans="1:7" s="847" customFormat="1" hidden="1" x14ac:dyDescent="0.3">
      <c r="B1372" s="847" t="s">
        <v>3</v>
      </c>
    </row>
    <row r="1373" spans="1:7" s="847" customFormat="1" hidden="1" x14ac:dyDescent="0.3">
      <c r="B1373" s="847" t="s">
        <v>1214</v>
      </c>
      <c r="C1373" s="848">
        <f>D1373+E1373</f>
        <v>97906909</v>
      </c>
      <c r="D1373" s="848">
        <f>'Додаток 5_В'!D911+'Додаток 5_В'!D982+'Додаток 5_В'!D1053+'Додаток 5_В'!D73</f>
        <v>35500413</v>
      </c>
      <c r="E1373" s="848">
        <f>'Додаток 5_В'!D1274+'Додаток 5_В'!D1133+'Додаток 5_В'!D1486</f>
        <v>62406496</v>
      </c>
    </row>
    <row r="1374" spans="1:7" s="847" customFormat="1" hidden="1" x14ac:dyDescent="0.3">
      <c r="C1374" s="852">
        <f>C1373-C1368</f>
        <v>0</v>
      </c>
      <c r="D1374" s="852">
        <f>D1373-D1368</f>
        <v>0</v>
      </c>
      <c r="E1374" s="852">
        <f>E1373-E1368</f>
        <v>0</v>
      </c>
    </row>
  </sheetData>
  <autoFilter ref="A1:G1374">
    <filterColumn colId="6">
      <customFilters and="1">
        <customFilter operator="greaterThan" val="0"/>
      </customFilters>
    </filterColumn>
  </autoFilter>
  <mergeCells count="67">
    <mergeCell ref="A1357:A1367"/>
    <mergeCell ref="A1078:A1088"/>
    <mergeCell ref="A1089:A1099"/>
    <mergeCell ref="A1100:A1154"/>
    <mergeCell ref="A1155:A1183"/>
    <mergeCell ref="A1184:A1238"/>
    <mergeCell ref="A1239:A1277"/>
    <mergeCell ref="A1016:A1055"/>
    <mergeCell ref="A1056:A1066"/>
    <mergeCell ref="A1067:A1077"/>
    <mergeCell ref="A1278:A1302"/>
    <mergeCell ref="A1303:A1345"/>
    <mergeCell ref="A1346:A1356"/>
    <mergeCell ref="A847:A941"/>
    <mergeCell ref="A942:A972"/>
    <mergeCell ref="A973:A982"/>
    <mergeCell ref="A983:A993"/>
    <mergeCell ref="A994:A1004"/>
    <mergeCell ref="A1005:A1015"/>
    <mergeCell ref="A836:A846"/>
    <mergeCell ref="A754:A764"/>
    <mergeCell ref="A765:A775"/>
    <mergeCell ref="A776:A786"/>
    <mergeCell ref="A787:A807"/>
    <mergeCell ref="A808:A835"/>
    <mergeCell ref="A602:A638"/>
    <mergeCell ref="A639:A663"/>
    <mergeCell ref="A664:A682"/>
    <mergeCell ref="A683:A731"/>
    <mergeCell ref="A732:A742"/>
    <mergeCell ref="A743:A753"/>
    <mergeCell ref="A489:A499"/>
    <mergeCell ref="A500:A523"/>
    <mergeCell ref="A524:A563"/>
    <mergeCell ref="A564:A574"/>
    <mergeCell ref="A575:A585"/>
    <mergeCell ref="A586:A601"/>
    <mergeCell ref="A376:A386"/>
    <mergeCell ref="A387:A397"/>
    <mergeCell ref="A398:A418"/>
    <mergeCell ref="A419:A442"/>
    <mergeCell ref="A443:A473"/>
    <mergeCell ref="A474:A488"/>
    <mergeCell ref="A301:A311"/>
    <mergeCell ref="A312:A331"/>
    <mergeCell ref="A332:A342"/>
    <mergeCell ref="A343:A353"/>
    <mergeCell ref="A354:A364"/>
    <mergeCell ref="A365:A375"/>
    <mergeCell ref="A160:A219"/>
    <mergeCell ref="A220:A230"/>
    <mergeCell ref="A231:A241"/>
    <mergeCell ref="A242:A252"/>
    <mergeCell ref="A253:A289"/>
    <mergeCell ref="A290:A300"/>
    <mergeCell ref="A74:A84"/>
    <mergeCell ref="A85:A95"/>
    <mergeCell ref="A96:A106"/>
    <mergeCell ref="A107:A117"/>
    <mergeCell ref="A118:A133"/>
    <mergeCell ref="A134:A159"/>
    <mergeCell ref="A8:A18"/>
    <mergeCell ref="A19:A29"/>
    <mergeCell ref="A30:A40"/>
    <mergeCell ref="A41:A51"/>
    <mergeCell ref="A52:A62"/>
    <mergeCell ref="A63:A73"/>
  </mergeCells>
  <phoneticPr fontId="0" type="noConversion"/>
  <printOptions horizontalCentered="1"/>
  <pageMargins left="0.39370078740157483" right="0" top="7.874015748031496E-2" bottom="0" header="0" footer="0"/>
  <pageSetup paperSize="9"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zoomScale="73" zoomScaleNormal="65" zoomScaleSheetLayoutView="73" workbookViewId="0">
      <pane xSplit="2" ySplit="9" topLeftCell="C22" activePane="bottomRight" state="frozen"/>
      <selection pane="topRight" activeCell="C1" sqref="C1"/>
      <selection pane="bottomLeft" activeCell="A8" sqref="A8"/>
      <selection pane="bottomRight" activeCell="P1" sqref="P1:V65536"/>
    </sheetView>
  </sheetViews>
  <sheetFormatPr defaultRowHeight="18.75" x14ac:dyDescent="0.3"/>
  <cols>
    <col min="1" max="1" width="9.85546875" style="1135" customWidth="1"/>
    <col min="2" max="2" width="51.42578125" style="76" customWidth="1"/>
    <col min="3" max="3" width="20.7109375" style="76" customWidth="1"/>
    <col min="4" max="4" width="22.5703125" style="76" customWidth="1"/>
    <col min="5" max="5" width="21.5703125" style="76" customWidth="1"/>
    <col min="6" max="6" width="16.85546875" style="13" hidden="1" customWidth="1"/>
    <col min="7" max="7" width="13.7109375" style="13" hidden="1" customWidth="1"/>
    <col min="8" max="8" width="22.7109375" style="76" hidden="1" customWidth="1"/>
    <col min="9" max="9" width="0" style="76" hidden="1" customWidth="1"/>
    <col min="10" max="11" width="13.42578125" style="76" hidden="1" customWidth="1"/>
    <col min="12" max="12" width="0" style="76" hidden="1" customWidth="1"/>
    <col min="13" max="15" width="21.42578125" style="76" hidden="1" customWidth="1"/>
    <col min="16" max="22" width="0" style="76" hidden="1" customWidth="1"/>
    <col min="23" max="16384" width="9.140625" style="76"/>
  </cols>
  <sheetData>
    <row r="1" spans="1:11" s="618" customFormat="1" x14ac:dyDescent="0.3">
      <c r="A1" s="1135"/>
      <c r="C1" s="151"/>
      <c r="D1" s="152" t="s">
        <v>682</v>
      </c>
      <c r="F1" s="1150"/>
      <c r="G1" s="25"/>
      <c r="H1" s="618">
        <v>1</v>
      </c>
    </row>
    <row r="2" spans="1:11" s="618" customFormat="1" x14ac:dyDescent="0.3">
      <c r="A2" s="1135"/>
      <c r="C2" s="153"/>
      <c r="D2" s="152" t="s">
        <v>274</v>
      </c>
      <c r="E2" s="76"/>
      <c r="F2" s="1150"/>
      <c r="G2" s="25"/>
      <c r="H2" s="618">
        <v>1</v>
      </c>
    </row>
    <row r="3" spans="1:11" s="618" customFormat="1" x14ac:dyDescent="0.3">
      <c r="A3" s="1135"/>
      <c r="B3" s="230"/>
      <c r="C3" s="153"/>
      <c r="D3" s="502" t="s">
        <v>835</v>
      </c>
      <c r="E3" s="76"/>
      <c r="F3" s="1150"/>
      <c r="G3" s="25"/>
      <c r="H3" s="618">
        <v>1</v>
      </c>
    </row>
    <row r="4" spans="1:11" s="618" customFormat="1" ht="80.45" customHeight="1" x14ac:dyDescent="0.3">
      <c r="A4" s="1135"/>
      <c r="B4" s="1664" t="s">
        <v>1054</v>
      </c>
      <c r="C4" s="1664"/>
      <c r="D4" s="1664"/>
      <c r="E4" s="1664"/>
      <c r="F4" s="285"/>
      <c r="G4" s="10"/>
      <c r="H4" s="618">
        <v>1</v>
      </c>
    </row>
    <row r="5" spans="1:11" s="618" customFormat="1" ht="20.25" x14ac:dyDescent="0.3">
      <c r="A5" s="1135"/>
      <c r="B5" s="522" t="s">
        <v>858</v>
      </c>
      <c r="C5" s="1047"/>
      <c r="D5" s="1047"/>
      <c r="E5" s="1047"/>
      <c r="F5" s="285"/>
      <c r="G5" s="10"/>
    </row>
    <row r="6" spans="1:11" s="618" customFormat="1" ht="20.25" x14ac:dyDescent="0.3">
      <c r="A6" s="1135"/>
      <c r="B6" s="523" t="s">
        <v>856</v>
      </c>
      <c r="C6" s="1047"/>
      <c r="D6" s="1047"/>
      <c r="E6" s="1047"/>
      <c r="F6" s="285"/>
      <c r="G6" s="10"/>
    </row>
    <row r="7" spans="1:11" ht="22.5" x14ac:dyDescent="0.3">
      <c r="B7" s="231"/>
      <c r="C7" s="154"/>
      <c r="D7" s="154"/>
      <c r="E7" s="96" t="s">
        <v>737</v>
      </c>
      <c r="F7" s="83"/>
      <c r="G7" s="84"/>
      <c r="H7" s="76">
        <v>1</v>
      </c>
    </row>
    <row r="8" spans="1:11" ht="38.25" x14ac:dyDescent="0.3">
      <c r="A8" s="1136" t="s">
        <v>1816</v>
      </c>
      <c r="B8" s="150" t="s">
        <v>685</v>
      </c>
      <c r="C8" s="150" t="s">
        <v>739</v>
      </c>
      <c r="D8" s="150" t="s">
        <v>53</v>
      </c>
      <c r="E8" s="150" t="s">
        <v>54</v>
      </c>
      <c r="F8" s="83"/>
      <c r="G8" s="84"/>
      <c r="H8" s="76">
        <v>1</v>
      </c>
    </row>
    <row r="9" spans="1:11" x14ac:dyDescent="0.3">
      <c r="A9" s="1137">
        <v>1</v>
      </c>
      <c r="B9" s="81">
        <v>2</v>
      </c>
      <c r="C9" s="81">
        <v>3</v>
      </c>
      <c r="D9" s="150">
        <v>4</v>
      </c>
      <c r="E9" s="150">
        <v>5</v>
      </c>
      <c r="F9" s="83"/>
      <c r="G9" s="84"/>
      <c r="H9" s="76">
        <v>1</v>
      </c>
    </row>
    <row r="10" spans="1:11" x14ac:dyDescent="0.3">
      <c r="A10" s="1138" t="s">
        <v>1777</v>
      </c>
      <c r="B10" s="1133" t="s">
        <v>47</v>
      </c>
      <c r="C10" s="1128">
        <f>C11</f>
        <v>1038281</v>
      </c>
      <c r="D10" s="1128">
        <f>D11</f>
        <v>481193</v>
      </c>
      <c r="E10" s="1128">
        <f>E11</f>
        <v>557088</v>
      </c>
      <c r="F10" s="1134"/>
      <c r="G10" s="1134"/>
      <c r="H10" s="292">
        <f>D10+E10-C10</f>
        <v>0</v>
      </c>
    </row>
    <row r="11" spans="1:11" s="290" customFormat="1" ht="56.25" x14ac:dyDescent="0.3">
      <c r="A11" s="1139" t="s">
        <v>298</v>
      </c>
      <c r="B11" s="288" t="s">
        <v>767</v>
      </c>
      <c r="C11" s="1129">
        <f>SUM(C13:C21)</f>
        <v>1038281</v>
      </c>
      <c r="D11" s="1129">
        <f>SUM(D13:D21)</f>
        <v>481193</v>
      </c>
      <c r="E11" s="1129">
        <f>SUM(E13:E21)</f>
        <v>557088</v>
      </c>
      <c r="F11" s="312" t="e">
        <f>SUM(F13:F26)</f>
        <v>#REF!</v>
      </c>
      <c r="G11" s="312" t="e">
        <f>SUM(G13:G26)</f>
        <v>#REF!</v>
      </c>
      <c r="H11" s="292">
        <f t="shared" ref="H11:H51" si="0">D11+E11-C11</f>
        <v>0</v>
      </c>
      <c r="J11" s="290" t="b">
        <f>D11=дод3!F29</f>
        <v>1</v>
      </c>
      <c r="K11" s="290" t="b">
        <f>E11=дод3!J29</f>
        <v>1</v>
      </c>
    </row>
    <row r="12" spans="1:11" s="13" customFormat="1" x14ac:dyDescent="0.3">
      <c r="A12" s="1140"/>
      <c r="B12" s="222" t="s">
        <v>215</v>
      </c>
      <c r="C12" s="1039"/>
      <c r="D12" s="1039"/>
      <c r="E12" s="903"/>
      <c r="F12" s="160"/>
      <c r="G12" s="160"/>
      <c r="H12" s="292">
        <f t="shared" si="0"/>
        <v>0</v>
      </c>
    </row>
    <row r="13" spans="1:11" s="13" customFormat="1" ht="112.5" x14ac:dyDescent="0.3">
      <c r="A13" s="1141" t="s">
        <v>687</v>
      </c>
      <c r="B13" s="465" t="s">
        <v>1768</v>
      </c>
      <c r="C13" s="1430">
        <v>6749</v>
      </c>
      <c r="D13" s="1430">
        <v>6749</v>
      </c>
      <c r="E13" s="1430"/>
      <c r="F13" s="160"/>
      <c r="G13" s="160"/>
      <c r="H13" s="292">
        <f t="shared" si="0"/>
        <v>0</v>
      </c>
    </row>
    <row r="14" spans="1:11" s="13" customFormat="1" ht="131.25" x14ac:dyDescent="0.3">
      <c r="A14" s="1141" t="s">
        <v>686</v>
      </c>
      <c r="B14" s="1428" t="s">
        <v>2268</v>
      </c>
      <c r="C14" s="1430">
        <v>191000</v>
      </c>
      <c r="D14" s="1430">
        <v>191000</v>
      </c>
      <c r="E14" s="1430"/>
      <c r="F14" s="160"/>
      <c r="G14" s="160"/>
      <c r="H14" s="292">
        <f t="shared" si="0"/>
        <v>0</v>
      </c>
    </row>
    <row r="15" spans="1:11" s="13" customFormat="1" ht="75" x14ac:dyDescent="0.3">
      <c r="A15" s="1141" t="s">
        <v>1776</v>
      </c>
      <c r="B15" s="45" t="s">
        <v>2269</v>
      </c>
      <c r="C15" s="1430">
        <v>6250</v>
      </c>
      <c r="D15" s="1430">
        <v>6250</v>
      </c>
      <c r="E15" s="1430"/>
      <c r="F15" s="160"/>
      <c r="G15" s="160"/>
      <c r="H15" s="292">
        <f t="shared" si="0"/>
        <v>0</v>
      </c>
    </row>
    <row r="16" spans="1:11" s="13" customFormat="1" ht="93.75" x14ac:dyDescent="0.3">
      <c r="A16" s="1141" t="s">
        <v>2098</v>
      </c>
      <c r="B16" s="1429" t="s">
        <v>2270</v>
      </c>
      <c r="C16" s="1430">
        <v>49950</v>
      </c>
      <c r="D16" s="1430">
        <v>49950</v>
      </c>
      <c r="E16" s="1430"/>
      <c r="F16" s="160"/>
      <c r="G16" s="160"/>
      <c r="H16" s="292">
        <f t="shared" si="0"/>
        <v>0</v>
      </c>
    </row>
    <row r="17" spans="1:12" s="13" customFormat="1" ht="75" x14ac:dyDescent="0.3">
      <c r="A17" s="1141" t="s">
        <v>2263</v>
      </c>
      <c r="B17" s="1429" t="s">
        <v>2271</v>
      </c>
      <c r="C17" s="1430">
        <v>36200</v>
      </c>
      <c r="D17" s="1430">
        <v>36200</v>
      </c>
      <c r="E17" s="1430"/>
      <c r="F17" s="160"/>
      <c r="G17" s="160"/>
      <c r="H17" s="292">
        <f t="shared" si="0"/>
        <v>0</v>
      </c>
    </row>
    <row r="18" spans="1:12" s="13" customFormat="1" ht="56.25" x14ac:dyDescent="0.3">
      <c r="A18" s="1141" t="s">
        <v>2264</v>
      </c>
      <c r="B18" s="1429" t="s">
        <v>2272</v>
      </c>
      <c r="C18" s="1430">
        <v>191044</v>
      </c>
      <c r="D18" s="1430">
        <v>191044</v>
      </c>
      <c r="E18" s="1430"/>
      <c r="F18" s="160"/>
      <c r="G18" s="160"/>
      <c r="H18" s="292">
        <f t="shared" si="0"/>
        <v>0</v>
      </c>
    </row>
    <row r="19" spans="1:12" s="13" customFormat="1" ht="56.25" x14ac:dyDescent="0.3">
      <c r="A19" s="1141" t="s">
        <v>2265</v>
      </c>
      <c r="B19" s="1429" t="s">
        <v>2273</v>
      </c>
      <c r="C19" s="1430">
        <v>341044</v>
      </c>
      <c r="D19" s="1430"/>
      <c r="E19" s="1430">
        <v>341044</v>
      </c>
      <c r="F19" s="160"/>
      <c r="G19" s="160"/>
      <c r="H19" s="292">
        <f t="shared" si="0"/>
        <v>0</v>
      </c>
    </row>
    <row r="20" spans="1:12" s="13" customFormat="1" ht="112.5" x14ac:dyDescent="0.3">
      <c r="A20" s="1141" t="s">
        <v>2266</v>
      </c>
      <c r="B20" s="1426" t="s">
        <v>2274</v>
      </c>
      <c r="C20" s="1430">
        <v>25000</v>
      </c>
      <c r="D20" s="1430"/>
      <c r="E20" s="1430">
        <v>25000</v>
      </c>
      <c r="F20" s="160"/>
      <c r="G20" s="160"/>
      <c r="H20" s="292">
        <f t="shared" si="0"/>
        <v>0</v>
      </c>
    </row>
    <row r="21" spans="1:12" s="13" customFormat="1" ht="75" x14ac:dyDescent="0.3">
      <c r="A21" s="1141" t="s">
        <v>2267</v>
      </c>
      <c r="B21" s="1428" t="s">
        <v>2275</v>
      </c>
      <c r="C21" s="1430">
        <v>191044</v>
      </c>
      <c r="D21" s="1430"/>
      <c r="E21" s="1430">
        <v>191044</v>
      </c>
      <c r="F21" s="160"/>
      <c r="G21" s="160"/>
      <c r="H21" s="292">
        <f t="shared" si="0"/>
        <v>0</v>
      </c>
    </row>
    <row r="22" spans="1:12" s="13" customFormat="1" ht="56.25" x14ac:dyDescent="0.3">
      <c r="A22" s="1142" t="s">
        <v>1778</v>
      </c>
      <c r="B22" s="534" t="s">
        <v>1434</v>
      </c>
      <c r="C22" s="787">
        <f>C23</f>
        <v>1108956</v>
      </c>
      <c r="D22" s="787">
        <f>D23</f>
        <v>108956</v>
      </c>
      <c r="E22" s="787">
        <f>E23</f>
        <v>1000000</v>
      </c>
      <c r="F22" s="299"/>
      <c r="G22" s="299"/>
      <c r="H22" s="292">
        <f t="shared" si="0"/>
        <v>0</v>
      </c>
    </row>
    <row r="23" spans="1:12" s="290" customFormat="1" ht="56.25" x14ac:dyDescent="0.3">
      <c r="A23" s="1139" t="s">
        <v>1576</v>
      </c>
      <c r="B23" s="288" t="s">
        <v>1454</v>
      </c>
      <c r="C23" s="1431">
        <f>C25+C26+C27</f>
        <v>1108956</v>
      </c>
      <c r="D23" s="1431">
        <f>D25+D26+D27</f>
        <v>108956</v>
      </c>
      <c r="E23" s="1431">
        <f>E25+E26+E27</f>
        <v>1000000</v>
      </c>
      <c r="F23" s="312" t="e">
        <f>#REF!</f>
        <v>#REF!</v>
      </c>
      <c r="G23" s="312" t="e">
        <f>#REF!</f>
        <v>#REF!</v>
      </c>
      <c r="H23" s="292">
        <f t="shared" si="0"/>
        <v>0</v>
      </c>
      <c r="J23" s="1418">
        <f>D23-дод3!F82</f>
        <v>0</v>
      </c>
      <c r="K23" s="290" t="b">
        <f>E23=дод3!J82</f>
        <v>1</v>
      </c>
    </row>
    <row r="24" spans="1:12" s="13" customFormat="1" x14ac:dyDescent="0.3">
      <c r="A24" s="1140"/>
      <c r="B24" s="222" t="s">
        <v>215</v>
      </c>
      <c r="C24" s="1432"/>
      <c r="D24" s="1432"/>
      <c r="E24" s="1433"/>
      <c r="F24" s="160"/>
      <c r="G24" s="160"/>
      <c r="H24" s="292">
        <f t="shared" si="0"/>
        <v>0</v>
      </c>
    </row>
    <row r="25" spans="1:12" s="1381" customFormat="1" ht="112.5" x14ac:dyDescent="0.3">
      <c r="A25" s="1501" t="s">
        <v>687</v>
      </c>
      <c r="B25" s="506" t="s">
        <v>1954</v>
      </c>
      <c r="C25" s="1502">
        <v>500000</v>
      </c>
      <c r="D25" s="1503"/>
      <c r="E25" s="1503">
        <v>500000</v>
      </c>
      <c r="F25" s="1380"/>
      <c r="G25" s="1380"/>
      <c r="H25" s="292">
        <f t="shared" si="0"/>
        <v>0</v>
      </c>
    </row>
    <row r="26" spans="1:12" s="13" customFormat="1" ht="168.75" x14ac:dyDescent="0.3">
      <c r="A26" s="1140" t="s">
        <v>686</v>
      </c>
      <c r="B26" s="576" t="s">
        <v>1766</v>
      </c>
      <c r="C26" s="1434">
        <v>500000</v>
      </c>
      <c r="D26" s="1433"/>
      <c r="E26" s="1350">
        <v>500000</v>
      </c>
      <c r="F26" s="160">
        <v>25000</v>
      </c>
      <c r="G26" s="160"/>
      <c r="H26" s="292">
        <f t="shared" si="0"/>
        <v>0</v>
      </c>
    </row>
    <row r="27" spans="1:12" s="13" customFormat="1" ht="131.25" x14ac:dyDescent="0.3">
      <c r="A27" s="1140" t="s">
        <v>2083</v>
      </c>
      <c r="B27" s="576" t="s">
        <v>2084</v>
      </c>
      <c r="C27" s="1434">
        <v>108956</v>
      </c>
      <c r="D27" s="1433">
        <v>108956</v>
      </c>
      <c r="E27" s="1350"/>
      <c r="F27" s="160"/>
      <c r="G27" s="160"/>
      <c r="H27" s="292">
        <f t="shared" si="0"/>
        <v>0</v>
      </c>
    </row>
    <row r="28" spans="1:12" s="13" customFormat="1" ht="56.25" x14ac:dyDescent="0.3">
      <c r="A28" s="1142" t="s">
        <v>2096</v>
      </c>
      <c r="B28" s="534" t="s">
        <v>252</v>
      </c>
      <c r="C28" s="787">
        <f>C30</f>
        <v>167912</v>
      </c>
      <c r="D28" s="787">
        <f>D30</f>
        <v>0</v>
      </c>
      <c r="E28" s="787">
        <f>E30</f>
        <v>167912</v>
      </c>
      <c r="F28" s="299"/>
      <c r="G28" s="299"/>
      <c r="H28" s="292">
        <f t="shared" si="0"/>
        <v>0</v>
      </c>
      <c r="J28" s="13" t="b">
        <f>D28=дод3!E290</f>
        <v>1</v>
      </c>
      <c r="K28" s="13" t="b">
        <f>E28=дод3!J290</f>
        <v>1</v>
      </c>
    </row>
    <row r="29" spans="1:12" s="290" customFormat="1" ht="166.9" customHeight="1" x14ac:dyDescent="0.3">
      <c r="A29" s="1139"/>
      <c r="B29" s="288" t="s">
        <v>2100</v>
      </c>
      <c r="C29" s="1431">
        <f>C30</f>
        <v>167912</v>
      </c>
      <c r="D29" s="1431">
        <f>D30</f>
        <v>0</v>
      </c>
      <c r="E29" s="1431">
        <f>E30</f>
        <v>167912</v>
      </c>
      <c r="F29" s="312"/>
      <c r="G29" s="312"/>
      <c r="H29" s="292">
        <f t="shared" si="0"/>
        <v>0</v>
      </c>
    </row>
    <row r="30" spans="1:12" s="13" customFormat="1" ht="56.25" x14ac:dyDescent="0.3">
      <c r="A30" s="1140" t="s">
        <v>687</v>
      </c>
      <c r="B30" s="891" t="s">
        <v>2097</v>
      </c>
      <c r="C30" s="1434">
        <v>167912</v>
      </c>
      <c r="D30" s="1433"/>
      <c r="E30" s="1350">
        <f>108956+58956</f>
        <v>167912</v>
      </c>
      <c r="F30" s="160"/>
      <c r="G30" s="160"/>
      <c r="H30" s="292">
        <f t="shared" si="0"/>
        <v>0</v>
      </c>
    </row>
    <row r="31" spans="1:12" s="13" customFormat="1" ht="75" x14ac:dyDescent="0.3">
      <c r="A31" s="1142" t="s">
        <v>1779</v>
      </c>
      <c r="B31" s="474" t="s">
        <v>854</v>
      </c>
      <c r="C31" s="787">
        <f>C32+C37</f>
        <v>1118956</v>
      </c>
      <c r="D31" s="787">
        <f>D32+D37</f>
        <v>1058956</v>
      </c>
      <c r="E31" s="787">
        <f>E32+E37</f>
        <v>60000</v>
      </c>
      <c r="F31" s="299"/>
      <c r="G31" s="299"/>
      <c r="H31" s="292">
        <f t="shared" si="0"/>
        <v>0</v>
      </c>
    </row>
    <row r="32" spans="1:12" s="290" customFormat="1" ht="112.5" x14ac:dyDescent="0.3">
      <c r="A32" s="1139" t="s">
        <v>978</v>
      </c>
      <c r="B32" s="288" t="s">
        <v>1458</v>
      </c>
      <c r="C32" s="1431">
        <f>SUM(C34:C36)</f>
        <v>658956</v>
      </c>
      <c r="D32" s="1431">
        <f>SUM(D34:D36)</f>
        <v>658956</v>
      </c>
      <c r="E32" s="1431">
        <f>SUM(E34:E36)</f>
        <v>0</v>
      </c>
      <c r="F32" s="1431">
        <f>SUM(F34:F36)</f>
        <v>0</v>
      </c>
      <c r="G32" s="1431">
        <f>SUM(G34:G36)</f>
        <v>0</v>
      </c>
      <c r="H32" s="292">
        <f t="shared" si="0"/>
        <v>0</v>
      </c>
      <c r="L32" s="290" t="s">
        <v>688</v>
      </c>
    </row>
    <row r="33" spans="1:16" s="287" customFormat="1" x14ac:dyDescent="0.3">
      <c r="A33" s="1143"/>
      <c r="B33" s="222" t="s">
        <v>215</v>
      </c>
      <c r="C33" s="1435"/>
      <c r="D33" s="1436"/>
      <c r="E33" s="1435"/>
      <c r="F33" s="286"/>
      <c r="G33" s="286"/>
      <c r="H33" s="292">
        <f t="shared" si="0"/>
        <v>0</v>
      </c>
    </row>
    <row r="34" spans="1:16" s="13" customFormat="1" ht="75" x14ac:dyDescent="0.3">
      <c r="A34" s="1140" t="s">
        <v>687</v>
      </c>
      <c r="B34" s="576" t="s">
        <v>1770</v>
      </c>
      <c r="C34" s="1434">
        <v>500000</v>
      </c>
      <c r="D34" s="1433">
        <v>500000</v>
      </c>
      <c r="E34" s="1350"/>
      <c r="F34" s="160"/>
      <c r="G34" s="160"/>
      <c r="H34" s="292">
        <f t="shared" si="0"/>
        <v>0</v>
      </c>
    </row>
    <row r="35" spans="1:16" s="13" customFormat="1" ht="93.75" x14ac:dyDescent="0.3">
      <c r="A35" s="1140" t="s">
        <v>686</v>
      </c>
      <c r="B35" s="576" t="s">
        <v>1769</v>
      </c>
      <c r="C35" s="1434">
        <v>50000</v>
      </c>
      <c r="D35" s="1433">
        <v>50000</v>
      </c>
      <c r="E35" s="1350"/>
      <c r="F35" s="160"/>
      <c r="G35" s="160"/>
      <c r="H35" s="292">
        <f t="shared" si="0"/>
        <v>0</v>
      </c>
    </row>
    <row r="36" spans="1:16" s="13" customFormat="1" ht="93.75" x14ac:dyDescent="0.3">
      <c r="A36" s="1140" t="s">
        <v>1776</v>
      </c>
      <c r="B36" s="576" t="s">
        <v>2092</v>
      </c>
      <c r="C36" s="1434">
        <v>108956</v>
      </c>
      <c r="D36" s="1433">
        <v>108956</v>
      </c>
      <c r="E36" s="1350"/>
      <c r="F36" s="160"/>
      <c r="G36" s="160"/>
      <c r="H36" s="292">
        <f t="shared" si="0"/>
        <v>0</v>
      </c>
    </row>
    <row r="37" spans="1:16" s="290" customFormat="1" ht="93.75" x14ac:dyDescent="0.3">
      <c r="A37" s="1139" t="s">
        <v>978</v>
      </c>
      <c r="B37" s="288" t="s">
        <v>1767</v>
      </c>
      <c r="C37" s="1431">
        <f>C39+C40+C41</f>
        <v>460000</v>
      </c>
      <c r="D37" s="1431">
        <f>D39+D40+D41</f>
        <v>400000</v>
      </c>
      <c r="E37" s="1431">
        <f>E39+E40+E41</f>
        <v>60000</v>
      </c>
      <c r="F37" s="312"/>
      <c r="G37" s="312"/>
      <c r="H37" s="292">
        <f t="shared" si="0"/>
        <v>0</v>
      </c>
      <c r="J37" s="290" t="e">
        <f>D37+D43+#REF!+#REF!-дод3!E35</f>
        <v>#REF!</v>
      </c>
      <c r="K37" s="290">
        <f>E37+E43-дод3!J35</f>
        <v>231000</v>
      </c>
    </row>
    <row r="38" spans="1:16" s="287" customFormat="1" x14ac:dyDescent="0.3">
      <c r="A38" s="1143"/>
      <c r="B38" s="222" t="s">
        <v>215</v>
      </c>
      <c r="C38" s="1435"/>
      <c r="D38" s="1436"/>
      <c r="E38" s="1435"/>
      <c r="F38" s="286"/>
      <c r="G38" s="286"/>
      <c r="H38" s="292">
        <f t="shared" si="0"/>
        <v>0</v>
      </c>
    </row>
    <row r="39" spans="1:16" s="13" customFormat="1" ht="93.75" x14ac:dyDescent="0.3">
      <c r="A39" s="1140" t="s">
        <v>687</v>
      </c>
      <c r="B39" s="1056" t="s">
        <v>1793</v>
      </c>
      <c r="C39" s="1434">
        <v>200000</v>
      </c>
      <c r="D39" s="1433">
        <v>200000</v>
      </c>
      <c r="E39" s="1350"/>
      <c r="F39" s="160"/>
      <c r="G39" s="160"/>
      <c r="H39" s="292">
        <f t="shared" si="0"/>
        <v>0</v>
      </c>
    </row>
    <row r="40" spans="1:16" s="13" customFormat="1" ht="56.25" x14ac:dyDescent="0.3">
      <c r="A40" s="1140" t="s">
        <v>2093</v>
      </c>
      <c r="B40" s="1056" t="s">
        <v>2094</v>
      </c>
      <c r="C40" s="1434">
        <v>200000</v>
      </c>
      <c r="D40" s="1433">
        <v>200000</v>
      </c>
      <c r="E40" s="1350"/>
      <c r="F40" s="160"/>
      <c r="G40" s="160"/>
      <c r="H40" s="292">
        <f t="shared" si="0"/>
        <v>0</v>
      </c>
    </row>
    <row r="41" spans="1:16" s="13" customFormat="1" ht="75" x14ac:dyDescent="0.3">
      <c r="A41" s="1140" t="s">
        <v>1776</v>
      </c>
      <c r="B41" s="1056" t="s">
        <v>2095</v>
      </c>
      <c r="C41" s="1434">
        <v>60000</v>
      </c>
      <c r="D41" s="1433"/>
      <c r="E41" s="1350">
        <v>60000</v>
      </c>
      <c r="F41" s="160"/>
      <c r="G41" s="160"/>
      <c r="H41" s="292">
        <f t="shared" si="0"/>
        <v>0</v>
      </c>
    </row>
    <row r="42" spans="1:16" s="13" customFormat="1" ht="37.5" x14ac:dyDescent="0.3">
      <c r="A42" s="1142" t="s">
        <v>1780</v>
      </c>
      <c r="B42" s="1133" t="s">
        <v>97</v>
      </c>
      <c r="C42" s="787">
        <f>C43+C46</f>
        <v>16658200</v>
      </c>
      <c r="D42" s="787">
        <f>D43+D46</f>
        <v>11270700</v>
      </c>
      <c r="E42" s="787">
        <f>E43+E46</f>
        <v>5387500</v>
      </c>
      <c r="F42" s="299"/>
      <c r="G42" s="299"/>
      <c r="H42" s="292">
        <f t="shared" si="0"/>
        <v>0</v>
      </c>
    </row>
    <row r="43" spans="1:16" s="290" customFormat="1" ht="93.75" x14ac:dyDescent="0.3">
      <c r="A43" s="1139" t="s">
        <v>499</v>
      </c>
      <c r="B43" s="288" t="s">
        <v>1573</v>
      </c>
      <c r="C43" s="1431">
        <f>C45</f>
        <v>8761700</v>
      </c>
      <c r="D43" s="1431">
        <f>D45</f>
        <v>8590700</v>
      </c>
      <c r="E43" s="1431">
        <f>E45</f>
        <v>171000</v>
      </c>
      <c r="F43" s="289"/>
      <c r="G43" s="289"/>
      <c r="H43" s="292">
        <f t="shared" si="0"/>
        <v>0</v>
      </c>
      <c r="M43" s="304" t="e">
        <f>C43+#REF!+#REF!+#REF!+#REF!+#REF!</f>
        <v>#REF!</v>
      </c>
      <c r="N43" s="304" t="e">
        <f>D43+#REF!+#REF!+#REF!+#REF!+#REF!</f>
        <v>#REF!</v>
      </c>
      <c r="O43" s="304" t="e">
        <f>E43+#REF!+#REF!+#REF!+#REF!+#REF!</f>
        <v>#REF!</v>
      </c>
      <c r="P43" s="304" t="e">
        <f>F43+#REF!+#REF!+#REF!+#REF!+#REF!</f>
        <v>#REF!</v>
      </c>
    </row>
    <row r="44" spans="1:16" s="287" customFormat="1" x14ac:dyDescent="0.3">
      <c r="A44" s="1143"/>
      <c r="B44" s="222" t="s">
        <v>215</v>
      </c>
      <c r="C44" s="1435"/>
      <c r="D44" s="1436"/>
      <c r="E44" s="1435"/>
      <c r="F44" s="286"/>
      <c r="G44" s="286"/>
      <c r="H44" s="292">
        <f t="shared" si="0"/>
        <v>0</v>
      </c>
    </row>
    <row r="45" spans="1:16" s="13" customFormat="1" ht="56.25" x14ac:dyDescent="0.3">
      <c r="A45" s="1140" t="s">
        <v>687</v>
      </c>
      <c r="B45" s="576" t="s">
        <v>1771</v>
      </c>
      <c r="C45" s="1434">
        <f>D45+E45</f>
        <v>8761700</v>
      </c>
      <c r="D45" s="1433">
        <f>5455200+3135500</f>
        <v>8590700</v>
      </c>
      <c r="E45" s="1350">
        <f>31000+140000</f>
        <v>171000</v>
      </c>
      <c r="F45" s="160"/>
      <c r="G45" s="160"/>
      <c r="H45" s="292">
        <f t="shared" si="0"/>
        <v>0</v>
      </c>
    </row>
    <row r="46" spans="1:16" s="518" customFormat="1" ht="112.5" x14ac:dyDescent="0.3">
      <c r="A46" s="1144" t="s">
        <v>499</v>
      </c>
      <c r="B46" s="288" t="s">
        <v>1574</v>
      </c>
      <c r="C46" s="1130">
        <f>SUM(C48:C51)</f>
        <v>7896500</v>
      </c>
      <c r="D46" s="1130">
        <f>SUM(D48:D51)</f>
        <v>2680000</v>
      </c>
      <c r="E46" s="1130">
        <f>SUM(E48:E51)</f>
        <v>5216500</v>
      </c>
      <c r="F46" s="517"/>
      <c r="G46" s="517"/>
      <c r="H46" s="292">
        <f t="shared" si="0"/>
        <v>0</v>
      </c>
    </row>
    <row r="47" spans="1:16" s="518" customFormat="1" x14ac:dyDescent="0.3">
      <c r="A47" s="1145"/>
      <c r="B47" s="222" t="s">
        <v>215</v>
      </c>
      <c r="C47" s="1435"/>
      <c r="D47" s="1436"/>
      <c r="E47" s="1131"/>
      <c r="F47" s="517"/>
      <c r="G47" s="517"/>
      <c r="H47" s="292">
        <f t="shared" si="0"/>
        <v>0</v>
      </c>
    </row>
    <row r="48" spans="1:16" s="518" customFormat="1" ht="75" x14ac:dyDescent="0.3">
      <c r="A48" s="1145" t="s">
        <v>687</v>
      </c>
      <c r="B48" s="222" t="s">
        <v>1772</v>
      </c>
      <c r="C48" s="1435">
        <v>3000000</v>
      </c>
      <c r="D48" s="1436">
        <v>1950000</v>
      </c>
      <c r="E48" s="1132">
        <v>1050000</v>
      </c>
      <c r="F48" s="517"/>
      <c r="G48" s="517"/>
      <c r="H48" s="292">
        <f t="shared" si="0"/>
        <v>0</v>
      </c>
    </row>
    <row r="49" spans="1:8" s="518" customFormat="1" ht="75" x14ac:dyDescent="0.3">
      <c r="A49" s="1145" t="s">
        <v>686</v>
      </c>
      <c r="B49" s="1045" t="s">
        <v>1773</v>
      </c>
      <c r="C49" s="1435">
        <v>4000000</v>
      </c>
      <c r="D49" s="1436"/>
      <c r="E49" s="1132">
        <v>4000000</v>
      </c>
      <c r="F49" s="517"/>
      <c r="G49" s="517"/>
      <c r="H49" s="292">
        <f t="shared" si="0"/>
        <v>0</v>
      </c>
    </row>
    <row r="50" spans="1:8" s="518" customFormat="1" ht="150" x14ac:dyDescent="0.3">
      <c r="A50" s="1145" t="s">
        <v>1776</v>
      </c>
      <c r="B50" s="1045" t="s">
        <v>2314</v>
      </c>
      <c r="C50" s="1435">
        <v>700000</v>
      </c>
      <c r="D50" s="1502">
        <f>50000+550000</f>
        <v>600000</v>
      </c>
      <c r="E50" s="1132">
        <f>650000-550000</f>
        <v>100000</v>
      </c>
      <c r="F50" s="517"/>
      <c r="G50" s="517"/>
      <c r="H50" s="292">
        <f t="shared" si="0"/>
        <v>0</v>
      </c>
    </row>
    <row r="51" spans="1:8" s="518" customFormat="1" ht="93.75" x14ac:dyDescent="0.3">
      <c r="A51" s="1145" t="s">
        <v>2098</v>
      </c>
      <c r="B51" s="1045" t="s">
        <v>2099</v>
      </c>
      <c r="C51" s="1435">
        <v>196500</v>
      </c>
      <c r="D51" s="1502">
        <v>130000</v>
      </c>
      <c r="E51" s="1132">
        <v>66500</v>
      </c>
      <c r="F51" s="517"/>
      <c r="G51" s="517"/>
      <c r="H51" s="292">
        <f t="shared" si="0"/>
        <v>0</v>
      </c>
    </row>
    <row r="52" spans="1:8" s="67" customFormat="1" x14ac:dyDescent="0.3">
      <c r="A52" s="1146"/>
      <c r="B52" s="1504" t="s">
        <v>740</v>
      </c>
      <c r="C52" s="1505">
        <f>C10+C22+C31+C42+C28</f>
        <v>20092305</v>
      </c>
      <c r="D52" s="1505">
        <f>D10+D22+D31+D42+D28</f>
        <v>12919805</v>
      </c>
      <c r="E52" s="1505">
        <f>E10+E22+E31+E42+E28</f>
        <v>7172500</v>
      </c>
      <c r="F52" s="291"/>
      <c r="G52" s="291"/>
      <c r="H52" s="292">
        <f>D52+E52-C52</f>
        <v>0</v>
      </c>
    </row>
    <row r="53" spans="1:8" x14ac:dyDescent="0.3">
      <c r="B53" s="503"/>
      <c r="C53" s="1506"/>
      <c r="D53" s="1506"/>
      <c r="E53" s="1506"/>
      <c r="H53" s="292">
        <v>1</v>
      </c>
    </row>
    <row r="54" spans="1:8" x14ac:dyDescent="0.3">
      <c r="A54" s="130" t="s">
        <v>174</v>
      </c>
      <c r="B54" s="503"/>
      <c r="C54" s="1507"/>
      <c r="D54" s="1508"/>
      <c r="E54" s="1509" t="s">
        <v>1171</v>
      </c>
      <c r="G54" s="14"/>
      <c r="H54" s="76">
        <v>1</v>
      </c>
    </row>
    <row r="55" spans="1:8" hidden="1" x14ac:dyDescent="0.3">
      <c r="C55" s="156">
        <f>дод3!Q29+дод3!Q82+дод3!Q295+дод3!Q313+дод3!Q290</f>
        <v>20092305</v>
      </c>
      <c r="D55" s="156">
        <f>дод3!E29+дод3!E35+дод3!E82+дод3!E290+дод3!E295+дод3!E313</f>
        <v>12919805</v>
      </c>
      <c r="E55" s="156">
        <f>дод3!J29+дод3!J35+дод3!J82+дод3!J290+дод3!J295+дод3!J313</f>
        <v>7172500</v>
      </c>
    </row>
    <row r="56" spans="1:8" s="1043" customFormat="1" hidden="1" x14ac:dyDescent="0.3">
      <c r="A56" s="1147"/>
      <c r="B56" s="1044" t="s">
        <v>3</v>
      </c>
      <c r="C56" s="1044">
        <f>C55-C52</f>
        <v>0</v>
      </c>
      <c r="D56" s="1044">
        <f>D55-D52</f>
        <v>0</v>
      </c>
      <c r="E56" s="1044">
        <f>E55-E52</f>
        <v>0</v>
      </c>
      <c r="F56" s="228"/>
      <c r="G56" s="228"/>
    </row>
    <row r="57" spans="1:8" hidden="1" x14ac:dyDescent="0.3">
      <c r="C57" s="156"/>
      <c r="D57" s="156"/>
      <c r="E57" s="156"/>
    </row>
    <row r="58" spans="1:8" hidden="1" x14ac:dyDescent="0.3">
      <c r="C58" s="156"/>
      <c r="D58" s="156"/>
      <c r="E58" s="156"/>
    </row>
    <row r="59" spans="1:8" s="13" customFormat="1" hidden="1" x14ac:dyDescent="0.3">
      <c r="A59" s="1148"/>
      <c r="C59" s="86"/>
      <c r="D59" s="86"/>
      <c r="E59" s="86"/>
    </row>
    <row r="60" spans="1:8" s="13" customFormat="1" hidden="1" x14ac:dyDescent="0.3">
      <c r="A60" s="1148"/>
      <c r="C60" s="86"/>
      <c r="D60" s="86"/>
      <c r="E60" s="86"/>
    </row>
    <row r="61" spans="1:8" s="13" customFormat="1" hidden="1" x14ac:dyDescent="0.3">
      <c r="A61" s="1148"/>
      <c r="C61" s="86"/>
      <c r="D61" s="86"/>
      <c r="E61" s="86"/>
    </row>
    <row r="62" spans="1:8" s="13" customFormat="1" hidden="1" x14ac:dyDescent="0.3">
      <c r="A62" s="1148"/>
      <c r="C62" s="86"/>
      <c r="D62" s="86"/>
      <c r="E62" s="86"/>
    </row>
    <row r="63" spans="1:8" s="13" customFormat="1" hidden="1" x14ac:dyDescent="0.3">
      <c r="A63" s="1148"/>
      <c r="C63" s="86"/>
      <c r="D63" s="86"/>
      <c r="E63" s="86"/>
    </row>
    <row r="64" spans="1:8" s="13" customFormat="1" hidden="1" x14ac:dyDescent="0.3">
      <c r="A64" s="1148"/>
      <c r="C64" s="86"/>
      <c r="D64" s="86"/>
      <c r="E64" s="86"/>
    </row>
    <row r="65" spans="1:7" s="13" customFormat="1" hidden="1" x14ac:dyDescent="0.3">
      <c r="A65" s="1148"/>
      <c r="C65" s="86"/>
      <c r="D65" s="86"/>
      <c r="E65" s="86"/>
    </row>
    <row r="66" spans="1:7" s="13" customFormat="1" hidden="1" x14ac:dyDescent="0.3">
      <c r="A66" s="1148"/>
      <c r="C66" s="86"/>
      <c r="D66" s="86"/>
      <c r="E66" s="86"/>
    </row>
    <row r="67" spans="1:7" s="13" customFormat="1" hidden="1" x14ac:dyDescent="0.3">
      <c r="A67" s="1148"/>
      <c r="C67" s="86"/>
      <c r="D67" s="86"/>
      <c r="E67" s="86"/>
    </row>
    <row r="68" spans="1:7" s="13" customFormat="1" hidden="1" x14ac:dyDescent="0.3">
      <c r="A68" s="1148"/>
      <c r="C68" s="86"/>
      <c r="D68" s="86"/>
      <c r="E68" s="86"/>
    </row>
    <row r="69" spans="1:7" s="13" customFormat="1" hidden="1" x14ac:dyDescent="0.3">
      <c r="A69" s="1148"/>
      <c r="C69" s="86"/>
      <c r="D69" s="86"/>
      <c r="E69" s="86"/>
    </row>
    <row r="70" spans="1:7" s="13" customFormat="1" hidden="1" x14ac:dyDescent="0.3">
      <c r="A70" s="1148"/>
      <c r="C70" s="86"/>
      <c r="D70" s="86"/>
      <c r="E70" s="86"/>
    </row>
    <row r="71" spans="1:7" s="13" customFormat="1" hidden="1" x14ac:dyDescent="0.3">
      <c r="A71" s="1148"/>
      <c r="C71" s="86"/>
      <c r="D71" s="86"/>
      <c r="E71" s="86"/>
    </row>
    <row r="72" spans="1:7" s="157" customFormat="1" x14ac:dyDescent="0.3">
      <c r="A72" s="1149"/>
      <c r="C72" s="158"/>
      <c r="D72" s="158"/>
      <c r="E72" s="158"/>
      <c r="F72" s="13"/>
      <c r="G72" s="13"/>
    </row>
    <row r="73" spans="1:7" x14ac:dyDescent="0.3">
      <c r="C73" s="158"/>
      <c r="D73" s="158"/>
      <c r="E73" s="158"/>
    </row>
    <row r="75" spans="1:7" x14ac:dyDescent="0.3">
      <c r="C75" s="229"/>
      <c r="D75" s="229"/>
      <c r="E75" s="229"/>
    </row>
  </sheetData>
  <mergeCells count="1">
    <mergeCell ref="B4:E4"/>
  </mergeCells>
  <printOptions horizontalCentered="1"/>
  <pageMargins left="0.39370078740157483" right="0" top="7.874015748031496E-2" bottom="0" header="0" footer="0"/>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K845"/>
  <sheetViews>
    <sheetView view="pageBreakPreview" zoomScale="70" zoomScaleNormal="65" zoomScaleSheetLayoutView="70" workbookViewId="0">
      <pane xSplit="2" ySplit="10" topLeftCell="C11" activePane="bottomRight" state="frozen"/>
      <selection pane="topRight" activeCell="C1" sqref="C1"/>
      <selection pane="bottomLeft" activeCell="A8" sqref="A8"/>
      <selection pane="bottomRight" activeCell="A790" sqref="A790:IV795"/>
    </sheetView>
  </sheetViews>
  <sheetFormatPr defaultRowHeight="33.75" customHeight="1" x14ac:dyDescent="0.3"/>
  <cols>
    <col min="1" max="1" width="27.7109375" style="1539" customWidth="1"/>
    <col min="2" max="2" width="43.42578125" style="1540" customWidth="1"/>
    <col min="3" max="3" width="29.28515625" style="1541" customWidth="1"/>
    <col min="4" max="4" width="27.7109375" style="1541" customWidth="1"/>
    <col min="5" max="5" width="27.7109375" style="503" customWidth="1"/>
    <col min="6" max="6" width="27.7109375" style="1523" hidden="1" customWidth="1"/>
    <col min="7" max="13" width="0" style="1523" hidden="1" customWidth="1"/>
    <col min="14" max="16384" width="9.140625" style="1523"/>
  </cols>
  <sheetData>
    <row r="1" spans="1:37" s="1513" customFormat="1" ht="33.75" customHeight="1" x14ac:dyDescent="0.3">
      <c r="A1" s="1510"/>
      <c r="B1" s="1511"/>
      <c r="C1" s="1512"/>
      <c r="E1" s="502" t="s">
        <v>1732</v>
      </c>
      <c r="F1" s="1514"/>
      <c r="G1" s="1514"/>
      <c r="H1" s="1514"/>
      <c r="I1" s="1514"/>
      <c r="J1" s="1514"/>
      <c r="K1" s="1514"/>
      <c r="L1" s="1514"/>
      <c r="M1" s="1514"/>
      <c r="N1" s="1514"/>
      <c r="O1" s="1514"/>
      <c r="P1" s="1514"/>
      <c r="Q1" s="1514"/>
      <c r="R1" s="1514"/>
      <c r="S1" s="1514"/>
      <c r="T1" s="1514"/>
      <c r="U1" s="1514"/>
      <c r="V1" s="1514"/>
      <c r="W1" s="1514"/>
      <c r="X1" s="1514"/>
      <c r="Y1" s="1514"/>
      <c r="Z1" s="1514"/>
      <c r="AA1" s="1514"/>
      <c r="AB1" s="1514"/>
      <c r="AC1" s="1514"/>
      <c r="AD1" s="1514"/>
      <c r="AE1" s="1514"/>
      <c r="AF1" s="1514"/>
      <c r="AG1" s="1514"/>
      <c r="AH1" s="1514"/>
      <c r="AI1" s="1514"/>
      <c r="AJ1" s="1514"/>
      <c r="AK1" s="1514"/>
    </row>
    <row r="2" spans="1:37" s="1513" customFormat="1" ht="18.75" x14ac:dyDescent="0.3">
      <c r="A2" s="1515"/>
      <c r="B2" s="1511"/>
      <c r="C2" s="1516"/>
      <c r="E2" s="502" t="s">
        <v>274</v>
      </c>
      <c r="F2" s="1514">
        <v>1</v>
      </c>
      <c r="G2" s="1514"/>
      <c r="H2" s="1514"/>
      <c r="I2" s="1514"/>
      <c r="J2" s="1514"/>
      <c r="K2" s="1514"/>
      <c r="L2" s="1514"/>
      <c r="M2" s="1514"/>
      <c r="N2" s="1514"/>
      <c r="O2" s="1514"/>
      <c r="P2" s="1514"/>
      <c r="Q2" s="1514"/>
      <c r="R2" s="1514"/>
      <c r="S2" s="1514"/>
      <c r="T2" s="1514"/>
      <c r="U2" s="1514"/>
      <c r="V2" s="1514"/>
      <c r="W2" s="1514"/>
      <c r="X2" s="1514"/>
      <c r="Y2" s="1514"/>
      <c r="Z2" s="1514"/>
      <c r="AA2" s="1514"/>
      <c r="AB2" s="1514"/>
      <c r="AC2" s="1514"/>
      <c r="AD2" s="1514"/>
      <c r="AE2" s="1514"/>
      <c r="AF2" s="1514"/>
      <c r="AG2" s="1514"/>
      <c r="AH2" s="1514"/>
      <c r="AI2" s="1514"/>
      <c r="AJ2" s="1514"/>
      <c r="AK2" s="1514"/>
    </row>
    <row r="3" spans="1:37" s="1513" customFormat="1" ht="18.75" x14ac:dyDescent="0.3">
      <c r="A3" s="1515"/>
      <c r="B3" s="1511"/>
      <c r="C3" s="1516"/>
      <c r="E3" s="502" t="s">
        <v>1817</v>
      </c>
      <c r="F3" s="1514">
        <v>1</v>
      </c>
      <c r="G3" s="1514"/>
      <c r="H3" s="1514"/>
      <c r="I3" s="1514"/>
      <c r="J3" s="1514"/>
      <c r="K3" s="1514"/>
      <c r="L3" s="1514"/>
      <c r="M3" s="1514"/>
      <c r="N3" s="1514"/>
      <c r="O3" s="1514"/>
      <c r="P3" s="1514"/>
      <c r="Q3" s="1514"/>
      <c r="R3" s="1514"/>
      <c r="S3" s="1514"/>
      <c r="T3" s="1514"/>
      <c r="U3" s="1514"/>
      <c r="V3" s="1514"/>
      <c r="W3" s="1514"/>
      <c r="X3" s="1514"/>
      <c r="Y3" s="1514"/>
      <c r="Z3" s="1514"/>
      <c r="AA3" s="1514"/>
      <c r="AB3" s="1514"/>
      <c r="AC3" s="1514"/>
      <c r="AD3" s="1514"/>
      <c r="AE3" s="1514"/>
      <c r="AF3" s="1514"/>
      <c r="AG3" s="1514"/>
      <c r="AH3" s="1514"/>
      <c r="AI3" s="1514"/>
      <c r="AJ3" s="1514"/>
      <c r="AK3" s="1514"/>
    </row>
    <row r="4" spans="1:37" s="1513" customFormat="1" ht="90" customHeight="1" x14ac:dyDescent="0.3">
      <c r="A4" s="1672" t="s">
        <v>1818</v>
      </c>
      <c r="B4" s="1672"/>
      <c r="C4" s="1672"/>
      <c r="D4" s="1672"/>
      <c r="E4" s="1672"/>
      <c r="F4" s="1514">
        <v>1</v>
      </c>
      <c r="G4" s="1514"/>
      <c r="H4" s="1514"/>
      <c r="I4" s="1514"/>
      <c r="J4" s="1514"/>
      <c r="K4" s="1514"/>
      <c r="L4" s="1514"/>
      <c r="M4" s="1514"/>
      <c r="N4" s="1514"/>
      <c r="O4" s="1514"/>
      <c r="P4" s="1514"/>
      <c r="Q4" s="1514"/>
      <c r="R4" s="1514"/>
      <c r="S4" s="1514"/>
      <c r="T4" s="1514"/>
      <c r="U4" s="1514"/>
      <c r="V4" s="1514"/>
      <c r="W4" s="1514"/>
      <c r="X4" s="1514"/>
      <c r="Y4" s="1514"/>
      <c r="Z4" s="1514"/>
      <c r="AA4" s="1514"/>
      <c r="AB4" s="1514"/>
      <c r="AC4" s="1514"/>
      <c r="AD4" s="1514"/>
      <c r="AE4" s="1514"/>
      <c r="AF4" s="1514"/>
      <c r="AG4" s="1514"/>
      <c r="AH4" s="1514"/>
      <c r="AI4" s="1514"/>
      <c r="AJ4" s="1514"/>
      <c r="AK4" s="1514"/>
    </row>
    <row r="5" spans="1:37" s="1513" customFormat="1" ht="20.25" x14ac:dyDescent="0.3">
      <c r="A5" s="1517" t="s">
        <v>858</v>
      </c>
      <c r="B5" s="1518"/>
      <c r="C5" s="1518"/>
      <c r="D5" s="1518"/>
      <c r="E5" s="1518"/>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row>
    <row r="6" spans="1:37" s="1513" customFormat="1" ht="20.25" x14ac:dyDescent="0.3">
      <c r="A6" s="1519" t="s">
        <v>856</v>
      </c>
      <c r="B6" s="1518"/>
      <c r="C6" s="1518"/>
      <c r="D6" s="1518"/>
      <c r="E6" s="1518"/>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row>
    <row r="7" spans="1:37" ht="22.5" x14ac:dyDescent="0.3">
      <c r="A7" s="1520"/>
      <c r="B7" s="1521"/>
      <c r="C7" s="1522"/>
      <c r="D7" s="1522"/>
      <c r="E7" s="375" t="s">
        <v>737</v>
      </c>
      <c r="F7" s="1523">
        <v>1</v>
      </c>
    </row>
    <row r="8" spans="1:37" ht="18.75" x14ac:dyDescent="0.3">
      <c r="A8" s="1849" t="s">
        <v>116</v>
      </c>
      <c r="B8" s="1851" t="s">
        <v>69</v>
      </c>
      <c r="C8" s="1851" t="s">
        <v>739</v>
      </c>
      <c r="D8" s="1853" t="s">
        <v>53</v>
      </c>
      <c r="E8" s="1854"/>
      <c r="F8" s="1523">
        <v>1</v>
      </c>
    </row>
    <row r="9" spans="1:37" ht="49.15" customHeight="1" x14ac:dyDescent="0.3">
      <c r="A9" s="1850"/>
      <c r="B9" s="1852"/>
      <c r="C9" s="1852"/>
      <c r="D9" s="505" t="s">
        <v>84</v>
      </c>
      <c r="E9" s="505" t="s">
        <v>85</v>
      </c>
      <c r="F9" s="1523">
        <v>1</v>
      </c>
    </row>
    <row r="10" spans="1:37" ht="33.75" customHeight="1" x14ac:dyDescent="0.3">
      <c r="A10" s="814">
        <v>1</v>
      </c>
      <c r="B10" s="815">
        <v>2</v>
      </c>
      <c r="C10" s="815">
        <v>3</v>
      </c>
      <c r="D10" s="815">
        <v>4</v>
      </c>
      <c r="E10" s="815">
        <v>5</v>
      </c>
      <c r="F10" s="1523">
        <v>1</v>
      </c>
    </row>
    <row r="11" spans="1:37" ht="75" x14ac:dyDescent="0.3">
      <c r="A11" s="1524" t="s">
        <v>1060</v>
      </c>
      <c r="B11" s="862" t="s">
        <v>1733</v>
      </c>
      <c r="C11" s="1438">
        <f t="shared" ref="C11:C20" si="0">SUM(D11:E11)</f>
        <v>40000</v>
      </c>
      <c r="D11" s="1457">
        <v>40000</v>
      </c>
      <c r="E11" s="1117"/>
      <c r="F11" s="1525">
        <f>C11</f>
        <v>40000</v>
      </c>
    </row>
    <row r="12" spans="1:37" s="13" customFormat="1" ht="18.75" hidden="1" x14ac:dyDescent="0.3">
      <c r="A12" s="973"/>
      <c r="B12" s="506"/>
      <c r="C12" s="986">
        <f t="shared" si="0"/>
        <v>0</v>
      </c>
      <c r="D12" s="988"/>
      <c r="E12" s="989"/>
      <c r="F12" s="893">
        <f t="shared" ref="F12:F75" si="1">C12</f>
        <v>0</v>
      </c>
    </row>
    <row r="13" spans="1:37" s="13" customFormat="1" ht="18.75" hidden="1" x14ac:dyDescent="0.3">
      <c r="A13" s="973"/>
      <c r="B13" s="891"/>
      <c r="C13" s="986">
        <f t="shared" si="0"/>
        <v>0</v>
      </c>
      <c r="D13" s="986"/>
      <c r="E13" s="990"/>
      <c r="F13" s="893">
        <f t="shared" si="1"/>
        <v>0</v>
      </c>
    </row>
    <row r="14" spans="1:37" s="13" customFormat="1" ht="18.75" hidden="1" x14ac:dyDescent="0.3">
      <c r="A14" s="973"/>
      <c r="B14" s="891"/>
      <c r="C14" s="986">
        <f t="shared" si="0"/>
        <v>0</v>
      </c>
      <c r="D14" s="986"/>
      <c r="E14" s="990"/>
      <c r="F14" s="893">
        <f t="shared" si="1"/>
        <v>0</v>
      </c>
    </row>
    <row r="15" spans="1:37" s="13" customFormat="1" ht="18.75" hidden="1" x14ac:dyDescent="0.3">
      <c r="A15" s="973"/>
      <c r="B15" s="891"/>
      <c r="C15" s="986">
        <f t="shared" si="0"/>
        <v>0</v>
      </c>
      <c r="D15" s="986"/>
      <c r="E15" s="990"/>
      <c r="F15" s="893">
        <f t="shared" si="1"/>
        <v>0</v>
      </c>
    </row>
    <row r="16" spans="1:37" s="13" customFormat="1" ht="18.75" hidden="1" x14ac:dyDescent="0.3">
      <c r="A16" s="973"/>
      <c r="B16" s="891"/>
      <c r="C16" s="986">
        <f t="shared" si="0"/>
        <v>0</v>
      </c>
      <c r="D16" s="986"/>
      <c r="E16" s="990"/>
      <c r="F16" s="893">
        <f t="shared" si="1"/>
        <v>0</v>
      </c>
    </row>
    <row r="17" spans="1:6" s="13" customFormat="1" ht="18.75" hidden="1" x14ac:dyDescent="0.3">
      <c r="A17" s="973"/>
      <c r="B17" s="891"/>
      <c r="C17" s="986">
        <f t="shared" si="0"/>
        <v>0</v>
      </c>
      <c r="D17" s="986"/>
      <c r="E17" s="990"/>
      <c r="F17" s="893">
        <f t="shared" si="1"/>
        <v>0</v>
      </c>
    </row>
    <row r="18" spans="1:6" s="13" customFormat="1" ht="18.75" hidden="1" x14ac:dyDescent="0.3">
      <c r="A18" s="973"/>
      <c r="B18" s="891"/>
      <c r="C18" s="986">
        <f t="shared" si="0"/>
        <v>0</v>
      </c>
      <c r="D18" s="986"/>
      <c r="E18" s="990"/>
      <c r="F18" s="893">
        <f t="shared" si="1"/>
        <v>0</v>
      </c>
    </row>
    <row r="19" spans="1:6" s="13" customFormat="1" ht="18.75" hidden="1" x14ac:dyDescent="0.3">
      <c r="A19" s="973"/>
      <c r="B19" s="891"/>
      <c r="C19" s="986">
        <f t="shared" si="0"/>
        <v>0</v>
      </c>
      <c r="D19" s="986"/>
      <c r="E19" s="990"/>
      <c r="F19" s="893">
        <f t="shared" si="1"/>
        <v>0</v>
      </c>
    </row>
    <row r="20" spans="1:6" s="13" customFormat="1" ht="18.75" hidden="1" x14ac:dyDescent="0.3">
      <c r="A20" s="973"/>
      <c r="B20" s="891"/>
      <c r="C20" s="986">
        <f t="shared" si="0"/>
        <v>0</v>
      </c>
      <c r="D20" s="986"/>
      <c r="E20" s="990"/>
      <c r="F20" s="893">
        <f t="shared" si="1"/>
        <v>0</v>
      </c>
    </row>
    <row r="21" spans="1:6" ht="18.75" x14ac:dyDescent="0.3">
      <c r="A21" s="1526"/>
      <c r="B21" s="862" t="s">
        <v>740</v>
      </c>
      <c r="C21" s="1438">
        <f>SUM(C11:C20)</f>
        <v>40000</v>
      </c>
      <c r="D21" s="1438">
        <f>SUM(D11:D20)</f>
        <v>40000</v>
      </c>
      <c r="E21" s="1438">
        <f>SUM(E11:E20)</f>
        <v>0</v>
      </c>
      <c r="F21" s="1525">
        <f t="shared" si="1"/>
        <v>40000</v>
      </c>
    </row>
    <row r="22" spans="1:6" s="13" customFormat="1" ht="75" hidden="1" x14ac:dyDescent="0.3">
      <c r="A22" s="972" t="s">
        <v>1069</v>
      </c>
      <c r="B22" s="85"/>
      <c r="C22" s="986"/>
      <c r="D22" s="986"/>
      <c r="E22" s="987"/>
      <c r="F22" s="893">
        <f t="shared" si="1"/>
        <v>0</v>
      </c>
    </row>
    <row r="23" spans="1:6" s="13" customFormat="1" ht="18.75" hidden="1" x14ac:dyDescent="0.3">
      <c r="A23" s="973"/>
      <c r="B23" s="891"/>
      <c r="C23" s="986">
        <f t="shared" ref="C23:C31" si="2">SUM(D23:E23)</f>
        <v>0</v>
      </c>
      <c r="D23" s="986"/>
      <c r="E23" s="990"/>
      <c r="F23" s="893">
        <f t="shared" si="1"/>
        <v>0</v>
      </c>
    </row>
    <row r="24" spans="1:6" s="13" customFormat="1" ht="18.75" hidden="1" x14ac:dyDescent="0.3">
      <c r="A24" s="973"/>
      <c r="B24" s="891"/>
      <c r="C24" s="986">
        <f t="shared" si="2"/>
        <v>0</v>
      </c>
      <c r="D24" s="986"/>
      <c r="E24" s="990"/>
      <c r="F24" s="893">
        <f t="shared" si="1"/>
        <v>0</v>
      </c>
    </row>
    <row r="25" spans="1:6" s="13" customFormat="1" ht="18.75" hidden="1" x14ac:dyDescent="0.3">
      <c r="A25" s="973"/>
      <c r="B25" s="891"/>
      <c r="C25" s="986">
        <f t="shared" si="2"/>
        <v>0</v>
      </c>
      <c r="D25" s="986"/>
      <c r="E25" s="990"/>
      <c r="F25" s="893">
        <f t="shared" si="1"/>
        <v>0</v>
      </c>
    </row>
    <row r="26" spans="1:6" s="13" customFormat="1" ht="18.75" hidden="1" x14ac:dyDescent="0.3">
      <c r="A26" s="973"/>
      <c r="B26" s="891"/>
      <c r="C26" s="986">
        <f t="shared" si="2"/>
        <v>0</v>
      </c>
      <c r="D26" s="986"/>
      <c r="E26" s="990"/>
      <c r="F26" s="893">
        <f t="shared" si="1"/>
        <v>0</v>
      </c>
    </row>
    <row r="27" spans="1:6" s="13" customFormat="1" ht="18.75" hidden="1" x14ac:dyDescent="0.3">
      <c r="A27" s="973"/>
      <c r="B27" s="891"/>
      <c r="C27" s="986">
        <f t="shared" si="2"/>
        <v>0</v>
      </c>
      <c r="D27" s="986"/>
      <c r="E27" s="990"/>
      <c r="F27" s="893">
        <f t="shared" si="1"/>
        <v>0</v>
      </c>
    </row>
    <row r="28" spans="1:6" s="13" customFormat="1" ht="18.75" hidden="1" x14ac:dyDescent="0.3">
      <c r="A28" s="973"/>
      <c r="B28" s="891"/>
      <c r="C28" s="986">
        <f t="shared" si="2"/>
        <v>0</v>
      </c>
      <c r="D28" s="986"/>
      <c r="E28" s="990"/>
      <c r="F28" s="893">
        <f t="shared" si="1"/>
        <v>0</v>
      </c>
    </row>
    <row r="29" spans="1:6" s="13" customFormat="1" ht="18.75" hidden="1" x14ac:dyDescent="0.3">
      <c r="A29" s="973"/>
      <c r="B29" s="891"/>
      <c r="C29" s="986">
        <f t="shared" si="2"/>
        <v>0</v>
      </c>
      <c r="D29" s="986"/>
      <c r="E29" s="990"/>
      <c r="F29" s="893">
        <f t="shared" si="1"/>
        <v>0</v>
      </c>
    </row>
    <row r="30" spans="1:6" s="13" customFormat="1" ht="18.75" hidden="1" x14ac:dyDescent="0.3">
      <c r="A30" s="973"/>
      <c r="B30" s="891"/>
      <c r="C30" s="986">
        <f t="shared" si="2"/>
        <v>0</v>
      </c>
      <c r="D30" s="986"/>
      <c r="E30" s="990"/>
      <c r="F30" s="893">
        <f t="shared" si="1"/>
        <v>0</v>
      </c>
    </row>
    <row r="31" spans="1:6" s="13" customFormat="1" ht="18.75" hidden="1" x14ac:dyDescent="0.3">
      <c r="A31" s="973"/>
      <c r="B31" s="891"/>
      <c r="C31" s="986">
        <f t="shared" si="2"/>
        <v>0</v>
      </c>
      <c r="D31" s="986"/>
      <c r="E31" s="990"/>
      <c r="F31" s="893">
        <f t="shared" si="1"/>
        <v>0</v>
      </c>
    </row>
    <row r="32" spans="1:6" s="13" customFormat="1" ht="18.75" hidden="1" x14ac:dyDescent="0.3">
      <c r="A32" s="974"/>
      <c r="B32" s="891" t="s">
        <v>740</v>
      </c>
      <c r="C32" s="986">
        <f>SUM(C22:C31)</f>
        <v>0</v>
      </c>
      <c r="D32" s="986">
        <f>SUM(D22:D31)</f>
        <v>0</v>
      </c>
      <c r="E32" s="986">
        <f>SUM(E22:E31)</f>
        <v>0</v>
      </c>
      <c r="F32" s="893">
        <f t="shared" si="1"/>
        <v>0</v>
      </c>
    </row>
    <row r="33" spans="1:6" s="13" customFormat="1" ht="75" hidden="1" x14ac:dyDescent="0.3">
      <c r="A33" s="972" t="s">
        <v>1070</v>
      </c>
      <c r="B33" s="891"/>
      <c r="C33" s="986">
        <f>SUM(D33:E33)</f>
        <v>0</v>
      </c>
      <c r="D33" s="986"/>
      <c r="E33" s="990"/>
      <c r="F33" s="893">
        <f t="shared" si="1"/>
        <v>0</v>
      </c>
    </row>
    <row r="34" spans="1:6" s="13" customFormat="1" ht="18.75" hidden="1" x14ac:dyDescent="0.3">
      <c r="A34" s="973"/>
      <c r="B34" s="891"/>
      <c r="C34" s="986">
        <f t="shared" ref="C34:C42" si="3">SUM(D34:E34)</f>
        <v>0</v>
      </c>
      <c r="D34" s="986"/>
      <c r="E34" s="990"/>
      <c r="F34" s="893">
        <f t="shared" si="1"/>
        <v>0</v>
      </c>
    </row>
    <row r="35" spans="1:6" s="13" customFormat="1" ht="18.75" hidden="1" x14ac:dyDescent="0.3">
      <c r="A35" s="973"/>
      <c r="B35" s="891"/>
      <c r="C35" s="986">
        <f t="shared" si="3"/>
        <v>0</v>
      </c>
      <c r="D35" s="986"/>
      <c r="E35" s="990"/>
      <c r="F35" s="893">
        <f t="shared" si="1"/>
        <v>0</v>
      </c>
    </row>
    <row r="36" spans="1:6" s="13" customFormat="1" ht="18.75" hidden="1" x14ac:dyDescent="0.3">
      <c r="A36" s="973"/>
      <c r="B36" s="891"/>
      <c r="C36" s="986">
        <f t="shared" si="3"/>
        <v>0</v>
      </c>
      <c r="D36" s="986"/>
      <c r="E36" s="990"/>
      <c r="F36" s="893">
        <f t="shared" si="1"/>
        <v>0</v>
      </c>
    </row>
    <row r="37" spans="1:6" s="13" customFormat="1" ht="18.75" hidden="1" x14ac:dyDescent="0.3">
      <c r="A37" s="973"/>
      <c r="B37" s="891"/>
      <c r="C37" s="986">
        <f t="shared" si="3"/>
        <v>0</v>
      </c>
      <c r="D37" s="986"/>
      <c r="E37" s="990"/>
      <c r="F37" s="893">
        <f t="shared" si="1"/>
        <v>0</v>
      </c>
    </row>
    <row r="38" spans="1:6" s="13" customFormat="1" ht="18.75" hidden="1" x14ac:dyDescent="0.3">
      <c r="A38" s="973"/>
      <c r="B38" s="891"/>
      <c r="C38" s="986">
        <f t="shared" si="3"/>
        <v>0</v>
      </c>
      <c r="D38" s="986"/>
      <c r="E38" s="990"/>
      <c r="F38" s="893">
        <f t="shared" si="1"/>
        <v>0</v>
      </c>
    </row>
    <row r="39" spans="1:6" s="13" customFormat="1" ht="18.75" hidden="1" x14ac:dyDescent="0.3">
      <c r="A39" s="973"/>
      <c r="B39" s="891"/>
      <c r="C39" s="986">
        <f t="shared" si="3"/>
        <v>0</v>
      </c>
      <c r="D39" s="986"/>
      <c r="E39" s="990"/>
      <c r="F39" s="893">
        <f t="shared" si="1"/>
        <v>0</v>
      </c>
    </row>
    <row r="40" spans="1:6" s="13" customFormat="1" ht="18.75" hidden="1" x14ac:dyDescent="0.3">
      <c r="A40" s="973"/>
      <c r="B40" s="891"/>
      <c r="C40" s="986">
        <f t="shared" si="3"/>
        <v>0</v>
      </c>
      <c r="D40" s="986"/>
      <c r="E40" s="990"/>
      <c r="F40" s="893">
        <f t="shared" si="1"/>
        <v>0</v>
      </c>
    </row>
    <row r="41" spans="1:6" s="13" customFormat="1" ht="18.75" hidden="1" x14ac:dyDescent="0.3">
      <c r="A41" s="973"/>
      <c r="B41" s="891"/>
      <c r="C41" s="986">
        <f t="shared" si="3"/>
        <v>0</v>
      </c>
      <c r="D41" s="986"/>
      <c r="E41" s="990"/>
      <c r="F41" s="893">
        <f t="shared" si="1"/>
        <v>0</v>
      </c>
    </row>
    <row r="42" spans="1:6" s="13" customFormat="1" ht="18.75" hidden="1" x14ac:dyDescent="0.3">
      <c r="A42" s="973"/>
      <c r="B42" s="891"/>
      <c r="C42" s="986">
        <f t="shared" si="3"/>
        <v>0</v>
      </c>
      <c r="D42" s="986"/>
      <c r="E42" s="990"/>
      <c r="F42" s="893">
        <f t="shared" si="1"/>
        <v>0</v>
      </c>
    </row>
    <row r="43" spans="1:6" s="13" customFormat="1" ht="18.75" hidden="1" x14ac:dyDescent="0.3">
      <c r="A43" s="974"/>
      <c r="B43" s="891" t="s">
        <v>740</v>
      </c>
      <c r="C43" s="986">
        <f>SUM(C33:C42)</f>
        <v>0</v>
      </c>
      <c r="D43" s="986">
        <f>SUM(D33:D42)</f>
        <v>0</v>
      </c>
      <c r="E43" s="986">
        <f>SUM(E33:E42)</f>
        <v>0</v>
      </c>
      <c r="F43" s="893">
        <f t="shared" si="1"/>
        <v>0</v>
      </c>
    </row>
    <row r="44" spans="1:6" s="13" customFormat="1" ht="75" hidden="1" x14ac:dyDescent="0.3">
      <c r="A44" s="972" t="s">
        <v>1071</v>
      </c>
      <c r="B44" s="85"/>
      <c r="C44" s="986"/>
      <c r="D44" s="986"/>
      <c r="E44" s="987"/>
      <c r="F44" s="893">
        <f t="shared" si="1"/>
        <v>0</v>
      </c>
    </row>
    <row r="45" spans="1:6" s="13" customFormat="1" ht="18.75" hidden="1" x14ac:dyDescent="0.3">
      <c r="A45" s="973"/>
      <c r="B45" s="891"/>
      <c r="C45" s="987"/>
      <c r="D45" s="987"/>
      <c r="E45" s="987"/>
      <c r="F45" s="893">
        <f t="shared" si="1"/>
        <v>0</v>
      </c>
    </row>
    <row r="46" spans="1:6" s="13" customFormat="1" ht="18.75" hidden="1" x14ac:dyDescent="0.3">
      <c r="A46" s="973"/>
      <c r="B46" s="891"/>
      <c r="C46" s="986">
        <f t="shared" ref="C46:C53" si="4">SUM(D46:E46)</f>
        <v>0</v>
      </c>
      <c r="D46" s="986"/>
      <c r="E46" s="990"/>
      <c r="F46" s="893">
        <f t="shared" si="1"/>
        <v>0</v>
      </c>
    </row>
    <row r="47" spans="1:6" s="13" customFormat="1" ht="18.75" hidden="1" x14ac:dyDescent="0.3">
      <c r="A47" s="973"/>
      <c r="B47" s="891"/>
      <c r="C47" s="986">
        <f t="shared" si="4"/>
        <v>0</v>
      </c>
      <c r="D47" s="986"/>
      <c r="E47" s="990"/>
      <c r="F47" s="893">
        <f t="shared" si="1"/>
        <v>0</v>
      </c>
    </row>
    <row r="48" spans="1:6" s="13" customFormat="1" ht="18.75" hidden="1" x14ac:dyDescent="0.3">
      <c r="A48" s="973"/>
      <c r="B48" s="891"/>
      <c r="C48" s="986">
        <f t="shared" si="4"/>
        <v>0</v>
      </c>
      <c r="D48" s="986"/>
      <c r="E48" s="990"/>
      <c r="F48" s="893">
        <f t="shared" si="1"/>
        <v>0</v>
      </c>
    </row>
    <row r="49" spans="1:6" s="13" customFormat="1" ht="18.75" hidden="1" x14ac:dyDescent="0.3">
      <c r="A49" s="973"/>
      <c r="B49" s="891"/>
      <c r="C49" s="986">
        <f t="shared" si="4"/>
        <v>0</v>
      </c>
      <c r="D49" s="986"/>
      <c r="E49" s="990"/>
      <c r="F49" s="893">
        <f t="shared" si="1"/>
        <v>0</v>
      </c>
    </row>
    <row r="50" spans="1:6" s="13" customFormat="1" ht="18.75" hidden="1" x14ac:dyDescent="0.3">
      <c r="A50" s="973"/>
      <c r="B50" s="891"/>
      <c r="C50" s="986">
        <f t="shared" si="4"/>
        <v>0</v>
      </c>
      <c r="D50" s="986"/>
      <c r="E50" s="990"/>
      <c r="F50" s="893">
        <f t="shared" si="1"/>
        <v>0</v>
      </c>
    </row>
    <row r="51" spans="1:6" s="13" customFormat="1" ht="18.75" hidden="1" x14ac:dyDescent="0.3">
      <c r="A51" s="973"/>
      <c r="B51" s="891"/>
      <c r="C51" s="986">
        <f t="shared" si="4"/>
        <v>0</v>
      </c>
      <c r="D51" s="986"/>
      <c r="E51" s="990"/>
      <c r="F51" s="893">
        <f t="shared" si="1"/>
        <v>0</v>
      </c>
    </row>
    <row r="52" spans="1:6" s="13" customFormat="1" ht="18.75" hidden="1" x14ac:dyDescent="0.3">
      <c r="A52" s="973"/>
      <c r="B52" s="891"/>
      <c r="C52" s="986">
        <f t="shared" si="4"/>
        <v>0</v>
      </c>
      <c r="D52" s="986"/>
      <c r="E52" s="990"/>
      <c r="F52" s="893">
        <f t="shared" si="1"/>
        <v>0</v>
      </c>
    </row>
    <row r="53" spans="1:6" s="13" customFormat="1" ht="18.75" hidden="1" x14ac:dyDescent="0.3">
      <c r="A53" s="973"/>
      <c r="B53" s="891"/>
      <c r="C53" s="986">
        <f t="shared" si="4"/>
        <v>0</v>
      </c>
      <c r="D53" s="986"/>
      <c r="E53" s="990"/>
      <c r="F53" s="893">
        <f t="shared" si="1"/>
        <v>0</v>
      </c>
    </row>
    <row r="54" spans="1:6" s="13" customFormat="1" ht="18.75" hidden="1" x14ac:dyDescent="0.3">
      <c r="A54" s="974"/>
      <c r="B54" s="891" t="s">
        <v>740</v>
      </c>
      <c r="C54" s="986">
        <f>SUM(C44:C53)</f>
        <v>0</v>
      </c>
      <c r="D54" s="986">
        <f>SUM(D44:D53)</f>
        <v>0</v>
      </c>
      <c r="E54" s="986">
        <f>SUM(E44:E53)</f>
        <v>0</v>
      </c>
      <c r="F54" s="893">
        <f t="shared" si="1"/>
        <v>0</v>
      </c>
    </row>
    <row r="55" spans="1:6" s="13" customFormat="1" ht="75" hidden="1" x14ac:dyDescent="0.3">
      <c r="A55" s="972" t="s">
        <v>1072</v>
      </c>
      <c r="B55" s="891"/>
      <c r="C55" s="986">
        <f>SUM(D55:E55)</f>
        <v>0</v>
      </c>
      <c r="D55" s="986"/>
      <c r="E55" s="990"/>
      <c r="F55" s="893">
        <f t="shared" si="1"/>
        <v>0</v>
      </c>
    </row>
    <row r="56" spans="1:6" s="13" customFormat="1" ht="18.75" hidden="1" x14ac:dyDescent="0.3">
      <c r="A56" s="973"/>
      <c r="B56" s="891"/>
      <c r="C56" s="986">
        <f t="shared" ref="C56:C64" si="5">SUM(D56:E56)</f>
        <v>0</v>
      </c>
      <c r="D56" s="986"/>
      <c r="E56" s="990"/>
      <c r="F56" s="893">
        <f t="shared" si="1"/>
        <v>0</v>
      </c>
    </row>
    <row r="57" spans="1:6" s="13" customFormat="1" ht="18.75" hidden="1" x14ac:dyDescent="0.3">
      <c r="A57" s="973"/>
      <c r="B57" s="891"/>
      <c r="C57" s="986">
        <f t="shared" si="5"/>
        <v>0</v>
      </c>
      <c r="D57" s="986"/>
      <c r="E57" s="990"/>
      <c r="F57" s="893">
        <f t="shared" si="1"/>
        <v>0</v>
      </c>
    </row>
    <row r="58" spans="1:6" s="13" customFormat="1" ht="18.75" hidden="1" x14ac:dyDescent="0.3">
      <c r="A58" s="973"/>
      <c r="B58" s="891"/>
      <c r="C58" s="986">
        <f t="shared" si="5"/>
        <v>0</v>
      </c>
      <c r="D58" s="986"/>
      <c r="E58" s="990"/>
      <c r="F58" s="893">
        <f t="shared" si="1"/>
        <v>0</v>
      </c>
    </row>
    <row r="59" spans="1:6" s="13" customFormat="1" ht="18.75" hidden="1" x14ac:dyDescent="0.3">
      <c r="A59" s="973"/>
      <c r="B59" s="891"/>
      <c r="C59" s="986">
        <f t="shared" si="5"/>
        <v>0</v>
      </c>
      <c r="D59" s="986"/>
      <c r="E59" s="990"/>
      <c r="F59" s="893">
        <f t="shared" si="1"/>
        <v>0</v>
      </c>
    </row>
    <row r="60" spans="1:6" s="13" customFormat="1" ht="18.75" hidden="1" x14ac:dyDescent="0.3">
      <c r="A60" s="973"/>
      <c r="B60" s="891"/>
      <c r="C60" s="986">
        <f t="shared" si="5"/>
        <v>0</v>
      </c>
      <c r="D60" s="986"/>
      <c r="E60" s="990"/>
      <c r="F60" s="893">
        <f t="shared" si="1"/>
        <v>0</v>
      </c>
    </row>
    <row r="61" spans="1:6" s="13" customFormat="1" ht="18.75" hidden="1" x14ac:dyDescent="0.3">
      <c r="A61" s="973"/>
      <c r="B61" s="891"/>
      <c r="C61" s="986">
        <f t="shared" si="5"/>
        <v>0</v>
      </c>
      <c r="D61" s="986"/>
      <c r="E61" s="990"/>
      <c r="F61" s="893">
        <f t="shared" si="1"/>
        <v>0</v>
      </c>
    </row>
    <row r="62" spans="1:6" s="13" customFormat="1" ht="18.75" hidden="1" x14ac:dyDescent="0.3">
      <c r="A62" s="973"/>
      <c r="B62" s="891"/>
      <c r="C62" s="986">
        <f t="shared" si="5"/>
        <v>0</v>
      </c>
      <c r="D62" s="986"/>
      <c r="E62" s="990"/>
      <c r="F62" s="893">
        <f t="shared" si="1"/>
        <v>0</v>
      </c>
    </row>
    <row r="63" spans="1:6" s="13" customFormat="1" ht="18.75" hidden="1" x14ac:dyDescent="0.3">
      <c r="A63" s="973"/>
      <c r="B63" s="891"/>
      <c r="C63" s="986">
        <f t="shared" si="5"/>
        <v>0</v>
      </c>
      <c r="D63" s="986"/>
      <c r="E63" s="990"/>
      <c r="F63" s="893">
        <f t="shared" si="1"/>
        <v>0</v>
      </c>
    </row>
    <row r="64" spans="1:6" s="13" customFormat="1" ht="18.75" hidden="1" x14ac:dyDescent="0.3">
      <c r="A64" s="973"/>
      <c r="B64" s="891"/>
      <c r="C64" s="986">
        <f t="shared" si="5"/>
        <v>0</v>
      </c>
      <c r="D64" s="986"/>
      <c r="E64" s="990"/>
      <c r="F64" s="893">
        <f t="shared" si="1"/>
        <v>0</v>
      </c>
    </row>
    <row r="65" spans="1:6" s="13" customFormat="1" ht="18.75" hidden="1" x14ac:dyDescent="0.3">
      <c r="A65" s="974"/>
      <c r="B65" s="891" t="s">
        <v>740</v>
      </c>
      <c r="C65" s="986">
        <f>SUM(C55:C64)</f>
        <v>0</v>
      </c>
      <c r="D65" s="986">
        <f>SUM(D55:D64)</f>
        <v>0</v>
      </c>
      <c r="E65" s="986">
        <f>SUM(E55:E64)</f>
        <v>0</v>
      </c>
      <c r="F65" s="893">
        <f t="shared" si="1"/>
        <v>0</v>
      </c>
    </row>
    <row r="66" spans="1:6" s="13" customFormat="1" ht="93.75" hidden="1" x14ac:dyDescent="0.3">
      <c r="A66" s="972" t="s">
        <v>1073</v>
      </c>
      <c r="B66" s="891"/>
      <c r="C66" s="986">
        <f>SUM(D66:E66)</f>
        <v>0</v>
      </c>
      <c r="D66" s="986"/>
      <c r="E66" s="990"/>
      <c r="F66" s="893">
        <f t="shared" si="1"/>
        <v>0</v>
      </c>
    </row>
    <row r="67" spans="1:6" s="13" customFormat="1" ht="18.75" hidden="1" x14ac:dyDescent="0.3">
      <c r="A67" s="973"/>
      <c r="B67" s="891"/>
      <c r="C67" s="986">
        <f t="shared" ref="C67:C75" si="6">SUM(D67:E67)</f>
        <v>0</v>
      </c>
      <c r="D67" s="986"/>
      <c r="E67" s="990"/>
      <c r="F67" s="893">
        <f t="shared" si="1"/>
        <v>0</v>
      </c>
    </row>
    <row r="68" spans="1:6" s="13" customFormat="1" ht="18.75" hidden="1" x14ac:dyDescent="0.3">
      <c r="A68" s="973"/>
      <c r="B68" s="891"/>
      <c r="C68" s="986">
        <f t="shared" si="6"/>
        <v>0</v>
      </c>
      <c r="D68" s="986"/>
      <c r="E68" s="990"/>
      <c r="F68" s="893">
        <f t="shared" si="1"/>
        <v>0</v>
      </c>
    </row>
    <row r="69" spans="1:6" s="13" customFormat="1" ht="18.75" hidden="1" x14ac:dyDescent="0.3">
      <c r="A69" s="973"/>
      <c r="B69" s="891"/>
      <c r="C69" s="986">
        <f t="shared" si="6"/>
        <v>0</v>
      </c>
      <c r="D69" s="986"/>
      <c r="E69" s="990"/>
      <c r="F69" s="893">
        <f t="shared" si="1"/>
        <v>0</v>
      </c>
    </row>
    <row r="70" spans="1:6" s="13" customFormat="1" ht="18.75" hidden="1" x14ac:dyDescent="0.3">
      <c r="A70" s="973"/>
      <c r="B70" s="891"/>
      <c r="C70" s="986">
        <f t="shared" si="6"/>
        <v>0</v>
      </c>
      <c r="D70" s="986"/>
      <c r="E70" s="990"/>
      <c r="F70" s="893">
        <f t="shared" si="1"/>
        <v>0</v>
      </c>
    </row>
    <row r="71" spans="1:6" s="13" customFormat="1" ht="18.75" hidden="1" x14ac:dyDescent="0.3">
      <c r="A71" s="973"/>
      <c r="B71" s="891"/>
      <c r="C71" s="986">
        <f t="shared" si="6"/>
        <v>0</v>
      </c>
      <c r="D71" s="986"/>
      <c r="E71" s="990"/>
      <c r="F71" s="893">
        <f t="shared" si="1"/>
        <v>0</v>
      </c>
    </row>
    <row r="72" spans="1:6" s="13" customFormat="1" ht="18.75" hidden="1" x14ac:dyDescent="0.3">
      <c r="A72" s="973"/>
      <c r="B72" s="891"/>
      <c r="C72" s="986">
        <f t="shared" si="6"/>
        <v>0</v>
      </c>
      <c r="D72" s="986"/>
      <c r="E72" s="990"/>
      <c r="F72" s="893">
        <f t="shared" si="1"/>
        <v>0</v>
      </c>
    </row>
    <row r="73" spans="1:6" s="13" customFormat="1" ht="18.75" hidden="1" x14ac:dyDescent="0.3">
      <c r="A73" s="973"/>
      <c r="B73" s="891"/>
      <c r="C73" s="986">
        <f t="shared" si="6"/>
        <v>0</v>
      </c>
      <c r="D73" s="986"/>
      <c r="E73" s="990"/>
      <c r="F73" s="893">
        <f t="shared" si="1"/>
        <v>0</v>
      </c>
    </row>
    <row r="74" spans="1:6" s="13" customFormat="1" ht="18.75" hidden="1" x14ac:dyDescent="0.3">
      <c r="A74" s="973"/>
      <c r="B74" s="891"/>
      <c r="C74" s="986">
        <f t="shared" si="6"/>
        <v>0</v>
      </c>
      <c r="D74" s="986"/>
      <c r="E74" s="990"/>
      <c r="F74" s="893">
        <f t="shared" si="1"/>
        <v>0</v>
      </c>
    </row>
    <row r="75" spans="1:6" s="13" customFormat="1" ht="18.75" hidden="1" x14ac:dyDescent="0.3">
      <c r="A75" s="973"/>
      <c r="B75" s="891"/>
      <c r="C75" s="986">
        <f t="shared" si="6"/>
        <v>0</v>
      </c>
      <c r="D75" s="986"/>
      <c r="E75" s="990"/>
      <c r="F75" s="893">
        <f t="shared" si="1"/>
        <v>0</v>
      </c>
    </row>
    <row r="76" spans="1:6" s="13" customFormat="1" ht="18.75" hidden="1" x14ac:dyDescent="0.3">
      <c r="A76" s="974"/>
      <c r="B76" s="891" t="s">
        <v>740</v>
      </c>
      <c r="C76" s="986">
        <f>SUM(C66:C75)</f>
        <v>0</v>
      </c>
      <c r="D76" s="986">
        <f>SUM(D66:D75)</f>
        <v>0</v>
      </c>
      <c r="E76" s="986">
        <f>SUM(E66:E75)</f>
        <v>0</v>
      </c>
      <c r="F76" s="893">
        <f t="shared" ref="F76:F139" si="7">C76</f>
        <v>0</v>
      </c>
    </row>
    <row r="77" spans="1:6" s="13" customFormat="1" ht="75" hidden="1" x14ac:dyDescent="0.3">
      <c r="A77" s="972" t="s">
        <v>1074</v>
      </c>
      <c r="B77" s="891"/>
      <c r="C77" s="987"/>
      <c r="D77" s="987"/>
      <c r="E77" s="987"/>
      <c r="F77" s="893">
        <f t="shared" si="7"/>
        <v>0</v>
      </c>
    </row>
    <row r="78" spans="1:6" s="13" customFormat="1" ht="18.75" hidden="1" x14ac:dyDescent="0.3">
      <c r="A78" s="973"/>
      <c r="B78" s="891"/>
      <c r="C78" s="986">
        <f t="shared" ref="C78:C86" si="8">SUM(D78:E78)</f>
        <v>0</v>
      </c>
      <c r="D78" s="986"/>
      <c r="E78" s="990"/>
      <c r="F78" s="893">
        <f t="shared" si="7"/>
        <v>0</v>
      </c>
    </row>
    <row r="79" spans="1:6" s="13" customFormat="1" ht="18.75" hidden="1" x14ac:dyDescent="0.3">
      <c r="A79" s="973"/>
      <c r="B79" s="891"/>
      <c r="C79" s="986">
        <f t="shared" si="8"/>
        <v>0</v>
      </c>
      <c r="D79" s="986"/>
      <c r="E79" s="990"/>
      <c r="F79" s="893">
        <f t="shared" si="7"/>
        <v>0</v>
      </c>
    </row>
    <row r="80" spans="1:6" s="13" customFormat="1" ht="18.75" hidden="1" x14ac:dyDescent="0.3">
      <c r="A80" s="973"/>
      <c r="B80" s="891"/>
      <c r="C80" s="986">
        <f t="shared" si="8"/>
        <v>0</v>
      </c>
      <c r="D80" s="986"/>
      <c r="E80" s="990"/>
      <c r="F80" s="893">
        <f t="shared" si="7"/>
        <v>0</v>
      </c>
    </row>
    <row r="81" spans="1:6" s="13" customFormat="1" ht="18.75" hidden="1" x14ac:dyDescent="0.3">
      <c r="A81" s="973"/>
      <c r="B81" s="891"/>
      <c r="C81" s="986">
        <f t="shared" si="8"/>
        <v>0</v>
      </c>
      <c r="D81" s="986"/>
      <c r="E81" s="990"/>
      <c r="F81" s="893">
        <f t="shared" si="7"/>
        <v>0</v>
      </c>
    </row>
    <row r="82" spans="1:6" s="13" customFormat="1" ht="18.75" hidden="1" x14ac:dyDescent="0.3">
      <c r="A82" s="973"/>
      <c r="B82" s="891"/>
      <c r="C82" s="986">
        <f t="shared" si="8"/>
        <v>0</v>
      </c>
      <c r="D82" s="986"/>
      <c r="E82" s="990"/>
      <c r="F82" s="893">
        <f t="shared" si="7"/>
        <v>0</v>
      </c>
    </row>
    <row r="83" spans="1:6" s="13" customFormat="1" ht="18.75" hidden="1" x14ac:dyDescent="0.3">
      <c r="A83" s="973"/>
      <c r="B83" s="891"/>
      <c r="C83" s="986">
        <f t="shared" si="8"/>
        <v>0</v>
      </c>
      <c r="D83" s="986"/>
      <c r="E83" s="990"/>
      <c r="F83" s="893">
        <f t="shared" si="7"/>
        <v>0</v>
      </c>
    </row>
    <row r="84" spans="1:6" s="13" customFormat="1" ht="18.75" hidden="1" x14ac:dyDescent="0.3">
      <c r="A84" s="973"/>
      <c r="B84" s="891"/>
      <c r="C84" s="986">
        <f t="shared" si="8"/>
        <v>0</v>
      </c>
      <c r="D84" s="986"/>
      <c r="E84" s="990"/>
      <c r="F84" s="893">
        <f t="shared" si="7"/>
        <v>0</v>
      </c>
    </row>
    <row r="85" spans="1:6" s="13" customFormat="1" ht="18.75" hidden="1" x14ac:dyDescent="0.3">
      <c r="A85" s="973"/>
      <c r="B85" s="891"/>
      <c r="C85" s="986">
        <f t="shared" si="8"/>
        <v>0</v>
      </c>
      <c r="D85" s="986"/>
      <c r="E85" s="990"/>
      <c r="F85" s="893">
        <f t="shared" si="7"/>
        <v>0</v>
      </c>
    </row>
    <row r="86" spans="1:6" s="13" customFormat="1" ht="18.75" hidden="1" x14ac:dyDescent="0.3">
      <c r="A86" s="973"/>
      <c r="B86" s="891"/>
      <c r="C86" s="986">
        <f t="shared" si="8"/>
        <v>0</v>
      </c>
      <c r="D86" s="986"/>
      <c r="E86" s="990"/>
      <c r="F86" s="893">
        <f t="shared" si="7"/>
        <v>0</v>
      </c>
    </row>
    <row r="87" spans="1:6" s="13" customFormat="1" ht="18.75" hidden="1" x14ac:dyDescent="0.3">
      <c r="A87" s="974"/>
      <c r="B87" s="891" t="s">
        <v>740</v>
      </c>
      <c r="C87" s="986">
        <f>SUM(C77:C86)</f>
        <v>0</v>
      </c>
      <c r="D87" s="986">
        <f>SUM(D77:D86)</f>
        <v>0</v>
      </c>
      <c r="E87" s="986">
        <f>SUM(E77:E86)</f>
        <v>0</v>
      </c>
      <c r="F87" s="893">
        <f t="shared" si="7"/>
        <v>0</v>
      </c>
    </row>
    <row r="88" spans="1:6" s="13" customFormat="1" ht="75" hidden="1" x14ac:dyDescent="0.3">
      <c r="A88" s="972" t="s">
        <v>1075</v>
      </c>
      <c r="B88" s="891"/>
      <c r="C88" s="986"/>
      <c r="D88" s="986"/>
      <c r="E88" s="990"/>
      <c r="F88" s="893">
        <f t="shared" si="7"/>
        <v>0</v>
      </c>
    </row>
    <row r="89" spans="1:6" s="13" customFormat="1" ht="18.75" hidden="1" x14ac:dyDescent="0.3">
      <c r="A89" s="973"/>
      <c r="B89" s="85"/>
      <c r="C89" s="987"/>
      <c r="D89" s="987"/>
      <c r="E89" s="991"/>
      <c r="F89" s="893">
        <f t="shared" si="7"/>
        <v>0</v>
      </c>
    </row>
    <row r="90" spans="1:6" s="13" customFormat="1" ht="18.75" hidden="1" x14ac:dyDescent="0.3">
      <c r="A90" s="973"/>
      <c r="B90" s="891"/>
      <c r="C90" s="986">
        <f t="shared" ref="C90:C97" si="9">SUM(D90:E90)</f>
        <v>0</v>
      </c>
      <c r="D90" s="986"/>
      <c r="E90" s="990"/>
      <c r="F90" s="893">
        <f t="shared" si="7"/>
        <v>0</v>
      </c>
    </row>
    <row r="91" spans="1:6" s="13" customFormat="1" ht="18.75" hidden="1" x14ac:dyDescent="0.3">
      <c r="A91" s="973"/>
      <c r="B91" s="891"/>
      <c r="C91" s="986">
        <f t="shared" si="9"/>
        <v>0</v>
      </c>
      <c r="D91" s="986"/>
      <c r="E91" s="990"/>
      <c r="F91" s="893">
        <f t="shared" si="7"/>
        <v>0</v>
      </c>
    </row>
    <row r="92" spans="1:6" s="13" customFormat="1" ht="18.75" hidden="1" x14ac:dyDescent="0.3">
      <c r="A92" s="973"/>
      <c r="B92" s="891"/>
      <c r="C92" s="986">
        <f t="shared" si="9"/>
        <v>0</v>
      </c>
      <c r="D92" s="986"/>
      <c r="E92" s="990"/>
      <c r="F92" s="893">
        <f t="shared" si="7"/>
        <v>0</v>
      </c>
    </row>
    <row r="93" spans="1:6" s="13" customFormat="1" ht="18.75" hidden="1" x14ac:dyDescent="0.3">
      <c r="A93" s="973"/>
      <c r="B93" s="891"/>
      <c r="C93" s="986">
        <f t="shared" si="9"/>
        <v>0</v>
      </c>
      <c r="D93" s="986"/>
      <c r="E93" s="990"/>
      <c r="F93" s="893">
        <f t="shared" si="7"/>
        <v>0</v>
      </c>
    </row>
    <row r="94" spans="1:6" s="13" customFormat="1" ht="18.75" hidden="1" x14ac:dyDescent="0.3">
      <c r="A94" s="973"/>
      <c r="B94" s="891"/>
      <c r="C94" s="986">
        <f t="shared" si="9"/>
        <v>0</v>
      </c>
      <c r="D94" s="986"/>
      <c r="E94" s="990"/>
      <c r="F94" s="893">
        <f t="shared" si="7"/>
        <v>0</v>
      </c>
    </row>
    <row r="95" spans="1:6" s="13" customFormat="1" ht="18.75" hidden="1" x14ac:dyDescent="0.3">
      <c r="A95" s="973"/>
      <c r="B95" s="891"/>
      <c r="C95" s="986">
        <f t="shared" si="9"/>
        <v>0</v>
      </c>
      <c r="D95" s="986"/>
      <c r="E95" s="990"/>
      <c r="F95" s="893">
        <f t="shared" si="7"/>
        <v>0</v>
      </c>
    </row>
    <row r="96" spans="1:6" s="13" customFormat="1" ht="18.75" hidden="1" x14ac:dyDescent="0.3">
      <c r="A96" s="973"/>
      <c r="B96" s="891"/>
      <c r="C96" s="986">
        <f t="shared" si="9"/>
        <v>0</v>
      </c>
      <c r="D96" s="986"/>
      <c r="E96" s="990"/>
      <c r="F96" s="893">
        <f t="shared" si="7"/>
        <v>0</v>
      </c>
    </row>
    <row r="97" spans="1:6" s="13" customFormat="1" ht="18.75" hidden="1" x14ac:dyDescent="0.3">
      <c r="A97" s="973"/>
      <c r="B97" s="891"/>
      <c r="C97" s="986">
        <f t="shared" si="9"/>
        <v>0</v>
      </c>
      <c r="D97" s="986"/>
      <c r="E97" s="990"/>
      <c r="F97" s="893">
        <f t="shared" si="7"/>
        <v>0</v>
      </c>
    </row>
    <row r="98" spans="1:6" s="13" customFormat="1" ht="18.75" hidden="1" x14ac:dyDescent="0.3">
      <c r="A98" s="974"/>
      <c r="B98" s="891" t="s">
        <v>740</v>
      </c>
      <c r="C98" s="986">
        <f>SUM(C88:C97)</f>
        <v>0</v>
      </c>
      <c r="D98" s="986">
        <f>SUM(D88:D97)</f>
        <v>0</v>
      </c>
      <c r="E98" s="986">
        <f>SUM(E88:E97)</f>
        <v>0</v>
      </c>
      <c r="F98" s="893">
        <f t="shared" si="7"/>
        <v>0</v>
      </c>
    </row>
    <row r="99" spans="1:6" s="13" customFormat="1" ht="93.75" hidden="1" x14ac:dyDescent="0.3">
      <c r="A99" s="972" t="s">
        <v>1076</v>
      </c>
      <c r="B99" s="891"/>
      <c r="C99" s="986">
        <f>SUM(D99:E99)</f>
        <v>0</v>
      </c>
      <c r="D99" s="986"/>
      <c r="E99" s="990"/>
      <c r="F99" s="893">
        <f t="shared" si="7"/>
        <v>0</v>
      </c>
    </row>
    <row r="100" spans="1:6" s="13" customFormat="1" ht="18.75" hidden="1" x14ac:dyDescent="0.3">
      <c r="A100" s="973"/>
      <c r="B100" s="891"/>
      <c r="C100" s="986">
        <f t="shared" ref="C100:C108" si="10">SUM(D100:E100)</f>
        <v>0</v>
      </c>
      <c r="D100" s="986"/>
      <c r="E100" s="990"/>
      <c r="F100" s="893">
        <f t="shared" si="7"/>
        <v>0</v>
      </c>
    </row>
    <row r="101" spans="1:6" s="13" customFormat="1" ht="18.75" hidden="1" x14ac:dyDescent="0.3">
      <c r="A101" s="973"/>
      <c r="B101" s="891"/>
      <c r="C101" s="986">
        <f t="shared" si="10"/>
        <v>0</v>
      </c>
      <c r="D101" s="986"/>
      <c r="E101" s="990"/>
      <c r="F101" s="893">
        <f t="shared" si="7"/>
        <v>0</v>
      </c>
    </row>
    <row r="102" spans="1:6" s="13" customFormat="1" ht="18.75" hidden="1" x14ac:dyDescent="0.3">
      <c r="A102" s="973"/>
      <c r="B102" s="891"/>
      <c r="C102" s="986">
        <f t="shared" si="10"/>
        <v>0</v>
      </c>
      <c r="D102" s="986"/>
      <c r="E102" s="990"/>
      <c r="F102" s="893">
        <f t="shared" si="7"/>
        <v>0</v>
      </c>
    </row>
    <row r="103" spans="1:6" s="13" customFormat="1" ht="18.75" hidden="1" x14ac:dyDescent="0.3">
      <c r="A103" s="973"/>
      <c r="B103" s="891"/>
      <c r="C103" s="986">
        <f t="shared" si="10"/>
        <v>0</v>
      </c>
      <c r="D103" s="986"/>
      <c r="E103" s="990"/>
      <c r="F103" s="893">
        <f t="shared" si="7"/>
        <v>0</v>
      </c>
    </row>
    <row r="104" spans="1:6" s="13" customFormat="1" ht="18.75" hidden="1" x14ac:dyDescent="0.3">
      <c r="A104" s="973"/>
      <c r="B104" s="891"/>
      <c r="C104" s="986">
        <f t="shared" si="10"/>
        <v>0</v>
      </c>
      <c r="D104" s="986"/>
      <c r="E104" s="990"/>
      <c r="F104" s="893">
        <f t="shared" si="7"/>
        <v>0</v>
      </c>
    </row>
    <row r="105" spans="1:6" s="13" customFormat="1" ht="18.75" hidden="1" x14ac:dyDescent="0.3">
      <c r="A105" s="973"/>
      <c r="B105" s="891"/>
      <c r="C105" s="986">
        <f t="shared" si="10"/>
        <v>0</v>
      </c>
      <c r="D105" s="986"/>
      <c r="E105" s="990"/>
      <c r="F105" s="893">
        <f t="shared" si="7"/>
        <v>0</v>
      </c>
    </row>
    <row r="106" spans="1:6" s="13" customFormat="1" ht="18.75" hidden="1" x14ac:dyDescent="0.3">
      <c r="A106" s="973"/>
      <c r="B106" s="891"/>
      <c r="C106" s="986">
        <f t="shared" si="10"/>
        <v>0</v>
      </c>
      <c r="D106" s="986"/>
      <c r="E106" s="990"/>
      <c r="F106" s="893">
        <f t="shared" si="7"/>
        <v>0</v>
      </c>
    </row>
    <row r="107" spans="1:6" s="13" customFormat="1" ht="18.75" hidden="1" x14ac:dyDescent="0.3">
      <c r="A107" s="973"/>
      <c r="B107" s="891"/>
      <c r="C107" s="986">
        <f t="shared" si="10"/>
        <v>0</v>
      </c>
      <c r="D107" s="986"/>
      <c r="E107" s="990"/>
      <c r="F107" s="893">
        <f t="shared" si="7"/>
        <v>0</v>
      </c>
    </row>
    <row r="108" spans="1:6" s="13" customFormat="1" ht="18.75" hidden="1" x14ac:dyDescent="0.3">
      <c r="A108" s="973"/>
      <c r="B108" s="891"/>
      <c r="C108" s="986">
        <f t="shared" si="10"/>
        <v>0</v>
      </c>
      <c r="D108" s="986"/>
      <c r="E108" s="990"/>
      <c r="F108" s="893">
        <f t="shared" si="7"/>
        <v>0</v>
      </c>
    </row>
    <row r="109" spans="1:6" s="13" customFormat="1" ht="18.75" hidden="1" x14ac:dyDescent="0.3">
      <c r="A109" s="974"/>
      <c r="B109" s="891" t="s">
        <v>740</v>
      </c>
      <c r="C109" s="986">
        <f>SUM(C99:C108)</f>
        <v>0</v>
      </c>
      <c r="D109" s="986">
        <f>SUM(D99:D108)</f>
        <v>0</v>
      </c>
      <c r="E109" s="986">
        <f>SUM(E99:E108)</f>
        <v>0</v>
      </c>
      <c r="F109" s="893">
        <f t="shared" si="7"/>
        <v>0</v>
      </c>
    </row>
    <row r="110" spans="1:6" s="13" customFormat="1" ht="75" hidden="1" x14ac:dyDescent="0.3">
      <c r="A110" s="972" t="s">
        <v>1077</v>
      </c>
      <c r="B110" s="891"/>
      <c r="C110" s="986">
        <f>SUM(D110:E110)</f>
        <v>0</v>
      </c>
      <c r="D110" s="986"/>
      <c r="E110" s="990"/>
      <c r="F110" s="893">
        <f t="shared" si="7"/>
        <v>0</v>
      </c>
    </row>
    <row r="111" spans="1:6" s="13" customFormat="1" ht="18.75" hidden="1" x14ac:dyDescent="0.3">
      <c r="A111" s="973"/>
      <c r="B111" s="891"/>
      <c r="C111" s="986">
        <f t="shared" ref="C111:C119" si="11">SUM(D111:E111)</f>
        <v>0</v>
      </c>
      <c r="D111" s="986"/>
      <c r="E111" s="990"/>
      <c r="F111" s="893">
        <f t="shared" si="7"/>
        <v>0</v>
      </c>
    </row>
    <row r="112" spans="1:6" s="13" customFormat="1" ht="18.75" hidden="1" x14ac:dyDescent="0.3">
      <c r="A112" s="973"/>
      <c r="B112" s="891"/>
      <c r="C112" s="986">
        <f t="shared" si="11"/>
        <v>0</v>
      </c>
      <c r="D112" s="986"/>
      <c r="E112" s="990"/>
      <c r="F112" s="893">
        <f t="shared" si="7"/>
        <v>0</v>
      </c>
    </row>
    <row r="113" spans="1:6" s="13" customFormat="1" ht="18.75" hidden="1" x14ac:dyDescent="0.3">
      <c r="A113" s="973"/>
      <c r="B113" s="891"/>
      <c r="C113" s="986">
        <f t="shared" si="11"/>
        <v>0</v>
      </c>
      <c r="D113" s="986"/>
      <c r="E113" s="990"/>
      <c r="F113" s="893">
        <f t="shared" si="7"/>
        <v>0</v>
      </c>
    </row>
    <row r="114" spans="1:6" s="13" customFormat="1" ht="18.75" hidden="1" x14ac:dyDescent="0.3">
      <c r="A114" s="973"/>
      <c r="B114" s="891"/>
      <c r="C114" s="986">
        <f t="shared" si="11"/>
        <v>0</v>
      </c>
      <c r="D114" s="986"/>
      <c r="E114" s="990"/>
      <c r="F114" s="893">
        <f t="shared" si="7"/>
        <v>0</v>
      </c>
    </row>
    <row r="115" spans="1:6" s="13" customFormat="1" ht="18.75" hidden="1" x14ac:dyDescent="0.3">
      <c r="A115" s="973"/>
      <c r="B115" s="891"/>
      <c r="C115" s="986">
        <f t="shared" si="11"/>
        <v>0</v>
      </c>
      <c r="D115" s="986"/>
      <c r="E115" s="990"/>
      <c r="F115" s="893">
        <f t="shared" si="7"/>
        <v>0</v>
      </c>
    </row>
    <row r="116" spans="1:6" s="13" customFormat="1" ht="18.75" hidden="1" x14ac:dyDescent="0.3">
      <c r="A116" s="973"/>
      <c r="B116" s="891"/>
      <c r="C116" s="986">
        <f t="shared" si="11"/>
        <v>0</v>
      </c>
      <c r="D116" s="986"/>
      <c r="E116" s="990"/>
      <c r="F116" s="893">
        <f t="shared" si="7"/>
        <v>0</v>
      </c>
    </row>
    <row r="117" spans="1:6" s="13" customFormat="1" ht="18.75" hidden="1" x14ac:dyDescent="0.3">
      <c r="A117" s="973"/>
      <c r="B117" s="891"/>
      <c r="C117" s="986">
        <f t="shared" si="11"/>
        <v>0</v>
      </c>
      <c r="D117" s="986"/>
      <c r="E117" s="990"/>
      <c r="F117" s="893">
        <f t="shared" si="7"/>
        <v>0</v>
      </c>
    </row>
    <row r="118" spans="1:6" s="13" customFormat="1" ht="18.75" hidden="1" x14ac:dyDescent="0.3">
      <c r="A118" s="973"/>
      <c r="B118" s="891"/>
      <c r="C118" s="986">
        <f t="shared" si="11"/>
        <v>0</v>
      </c>
      <c r="D118" s="986"/>
      <c r="E118" s="990"/>
      <c r="F118" s="893">
        <f t="shared" si="7"/>
        <v>0</v>
      </c>
    </row>
    <row r="119" spans="1:6" s="13" customFormat="1" ht="18.75" hidden="1" x14ac:dyDescent="0.3">
      <c r="A119" s="973"/>
      <c r="B119" s="891"/>
      <c r="C119" s="986">
        <f t="shared" si="11"/>
        <v>0</v>
      </c>
      <c r="D119" s="986"/>
      <c r="E119" s="990"/>
      <c r="F119" s="893">
        <f t="shared" si="7"/>
        <v>0</v>
      </c>
    </row>
    <row r="120" spans="1:6" s="13" customFormat="1" ht="18.75" hidden="1" x14ac:dyDescent="0.3">
      <c r="A120" s="974"/>
      <c r="B120" s="891" t="s">
        <v>740</v>
      </c>
      <c r="C120" s="986">
        <f>SUM(C110:C119)</f>
        <v>0</v>
      </c>
      <c r="D120" s="986">
        <f>SUM(D110:D119)</f>
        <v>0</v>
      </c>
      <c r="E120" s="986">
        <f>SUM(E110:E119)</f>
        <v>0</v>
      </c>
      <c r="F120" s="893">
        <f t="shared" si="7"/>
        <v>0</v>
      </c>
    </row>
    <row r="121" spans="1:6" ht="75" x14ac:dyDescent="0.3">
      <c r="A121" s="1524" t="s">
        <v>1078</v>
      </c>
      <c r="B121" s="862" t="s">
        <v>1734</v>
      </c>
      <c r="C121" s="1457">
        <v>50000</v>
      </c>
      <c r="D121" s="1457">
        <v>50000</v>
      </c>
      <c r="E121" s="1457"/>
      <c r="F121" s="1525">
        <f t="shared" si="7"/>
        <v>50000</v>
      </c>
    </row>
    <row r="122" spans="1:6" ht="56.25" x14ac:dyDescent="0.3">
      <c r="A122" s="1527"/>
      <c r="B122" s="862" t="s">
        <v>1735</v>
      </c>
      <c r="C122" s="1457">
        <v>25000</v>
      </c>
      <c r="D122" s="1457">
        <v>25000</v>
      </c>
      <c r="E122" s="1457"/>
      <c r="F122" s="1525">
        <f t="shared" si="7"/>
        <v>25000</v>
      </c>
    </row>
    <row r="123" spans="1:6" ht="56.25" x14ac:dyDescent="0.3">
      <c r="A123" s="1527"/>
      <c r="B123" s="862" t="s">
        <v>1736</v>
      </c>
      <c r="C123" s="1457">
        <v>25000</v>
      </c>
      <c r="D123" s="1457">
        <v>25000</v>
      </c>
      <c r="E123" s="1457"/>
      <c r="F123" s="1525">
        <f t="shared" si="7"/>
        <v>25000</v>
      </c>
    </row>
    <row r="124" spans="1:6" s="13" customFormat="1" ht="18.75" hidden="1" x14ac:dyDescent="0.3">
      <c r="A124" s="973"/>
      <c r="B124" s="891"/>
      <c r="C124" s="986">
        <f t="shared" ref="C124:C130" si="12">SUM(D124:E124)</f>
        <v>0</v>
      </c>
      <c r="D124" s="986"/>
      <c r="E124" s="990"/>
      <c r="F124" s="893">
        <f t="shared" si="7"/>
        <v>0</v>
      </c>
    </row>
    <row r="125" spans="1:6" s="13" customFormat="1" ht="18.75" hidden="1" x14ac:dyDescent="0.3">
      <c r="A125" s="973"/>
      <c r="B125" s="891"/>
      <c r="C125" s="986">
        <f t="shared" si="12"/>
        <v>0</v>
      </c>
      <c r="D125" s="986"/>
      <c r="E125" s="990"/>
      <c r="F125" s="893">
        <f t="shared" si="7"/>
        <v>0</v>
      </c>
    </row>
    <row r="126" spans="1:6" s="13" customFormat="1" ht="18.75" hidden="1" x14ac:dyDescent="0.3">
      <c r="A126" s="973"/>
      <c r="B126" s="891"/>
      <c r="C126" s="986">
        <f t="shared" si="12"/>
        <v>0</v>
      </c>
      <c r="D126" s="986"/>
      <c r="E126" s="990"/>
      <c r="F126" s="893">
        <f t="shared" si="7"/>
        <v>0</v>
      </c>
    </row>
    <row r="127" spans="1:6" s="13" customFormat="1" ht="18.75" hidden="1" x14ac:dyDescent="0.3">
      <c r="A127" s="973"/>
      <c r="B127" s="891"/>
      <c r="C127" s="986">
        <f t="shared" si="12"/>
        <v>0</v>
      </c>
      <c r="D127" s="986"/>
      <c r="E127" s="990"/>
      <c r="F127" s="893">
        <f t="shared" si="7"/>
        <v>0</v>
      </c>
    </row>
    <row r="128" spans="1:6" s="13" customFormat="1" ht="18.75" hidden="1" x14ac:dyDescent="0.3">
      <c r="A128" s="973"/>
      <c r="B128" s="891"/>
      <c r="C128" s="986">
        <f t="shared" si="12"/>
        <v>0</v>
      </c>
      <c r="D128" s="986"/>
      <c r="E128" s="990"/>
      <c r="F128" s="893">
        <f t="shared" si="7"/>
        <v>0</v>
      </c>
    </row>
    <row r="129" spans="1:6" s="13" customFormat="1" ht="18.75" hidden="1" x14ac:dyDescent="0.3">
      <c r="A129" s="973"/>
      <c r="B129" s="891"/>
      <c r="C129" s="986">
        <f t="shared" si="12"/>
        <v>0</v>
      </c>
      <c r="D129" s="986"/>
      <c r="E129" s="990"/>
      <c r="F129" s="893">
        <f t="shared" si="7"/>
        <v>0</v>
      </c>
    </row>
    <row r="130" spans="1:6" s="13" customFormat="1" ht="18.75" hidden="1" x14ac:dyDescent="0.3">
      <c r="A130" s="973"/>
      <c r="B130" s="891"/>
      <c r="C130" s="986">
        <f t="shared" si="12"/>
        <v>0</v>
      </c>
      <c r="D130" s="986"/>
      <c r="E130" s="990"/>
      <c r="F130" s="893">
        <f t="shared" si="7"/>
        <v>0</v>
      </c>
    </row>
    <row r="131" spans="1:6" ht="18.75" x14ac:dyDescent="0.3">
      <c r="A131" s="1526"/>
      <c r="B131" s="862" t="s">
        <v>740</v>
      </c>
      <c r="C131" s="1438">
        <f>SUM(C121:C130)</f>
        <v>100000</v>
      </c>
      <c r="D131" s="1438">
        <f>SUM(D121:D130)</f>
        <v>100000</v>
      </c>
      <c r="E131" s="1438">
        <f>SUM(E121:E130)</f>
        <v>0</v>
      </c>
      <c r="F131" s="1525">
        <f t="shared" si="7"/>
        <v>100000</v>
      </c>
    </row>
    <row r="132" spans="1:6" s="13" customFormat="1" ht="93.75" hidden="1" x14ac:dyDescent="0.3">
      <c r="A132" s="972" t="s">
        <v>1079</v>
      </c>
      <c r="B132" s="85"/>
      <c r="C132" s="986"/>
      <c r="D132" s="986"/>
      <c r="E132" s="992"/>
      <c r="F132" s="893">
        <f t="shared" si="7"/>
        <v>0</v>
      </c>
    </row>
    <row r="133" spans="1:6" s="13" customFormat="1" ht="18.75" hidden="1" x14ac:dyDescent="0.3">
      <c r="A133" s="973"/>
      <c r="B133" s="85"/>
      <c r="C133" s="986"/>
      <c r="D133" s="987"/>
      <c r="E133" s="990"/>
      <c r="F133" s="893">
        <f t="shared" si="7"/>
        <v>0</v>
      </c>
    </row>
    <row r="134" spans="1:6" s="13" customFormat="1" ht="18.75" hidden="1" x14ac:dyDescent="0.3">
      <c r="A134" s="973"/>
      <c r="B134" s="993"/>
      <c r="C134" s="986"/>
      <c r="D134" s="987"/>
      <c r="E134" s="990"/>
      <c r="F134" s="893">
        <f t="shared" si="7"/>
        <v>0</v>
      </c>
    </row>
    <row r="135" spans="1:6" s="13" customFormat="1" ht="18.75" hidden="1" x14ac:dyDescent="0.3">
      <c r="A135" s="973"/>
      <c r="B135" s="85"/>
      <c r="C135" s="986"/>
      <c r="D135" s="987"/>
      <c r="E135" s="990"/>
      <c r="F135" s="893">
        <f t="shared" si="7"/>
        <v>0</v>
      </c>
    </row>
    <row r="136" spans="1:6" s="13" customFormat="1" ht="18.75" hidden="1" x14ac:dyDescent="0.3">
      <c r="A136" s="973"/>
      <c r="B136" s="85"/>
      <c r="C136" s="986"/>
      <c r="D136" s="987"/>
      <c r="E136" s="990"/>
      <c r="F136" s="893">
        <f t="shared" si="7"/>
        <v>0</v>
      </c>
    </row>
    <row r="137" spans="1:6" s="13" customFormat="1" ht="18.75" hidden="1" x14ac:dyDescent="0.3">
      <c r="A137" s="973"/>
      <c r="B137" s="85"/>
      <c r="C137" s="986"/>
      <c r="D137" s="987"/>
      <c r="E137" s="990"/>
      <c r="F137" s="893">
        <f t="shared" si="7"/>
        <v>0</v>
      </c>
    </row>
    <row r="138" spans="1:6" s="13" customFormat="1" ht="18.75" hidden="1" x14ac:dyDescent="0.3">
      <c r="A138" s="973"/>
      <c r="B138" s="85"/>
      <c r="C138" s="986"/>
      <c r="D138" s="987"/>
      <c r="E138" s="990"/>
      <c r="F138" s="893">
        <f t="shared" si="7"/>
        <v>0</v>
      </c>
    </row>
    <row r="139" spans="1:6" s="13" customFormat="1" ht="18.75" hidden="1" x14ac:dyDescent="0.3">
      <c r="A139" s="973"/>
      <c r="B139" s="85"/>
      <c r="C139" s="986"/>
      <c r="D139" s="987"/>
      <c r="E139" s="990"/>
      <c r="F139" s="893">
        <f t="shared" si="7"/>
        <v>0</v>
      </c>
    </row>
    <row r="140" spans="1:6" s="13" customFormat="1" ht="18.75" hidden="1" x14ac:dyDescent="0.3">
      <c r="A140" s="973"/>
      <c r="B140" s="85"/>
      <c r="C140" s="987"/>
      <c r="D140" s="987"/>
      <c r="E140" s="987"/>
      <c r="F140" s="893">
        <f t="shared" ref="F140:F203" si="13">C140</f>
        <v>0</v>
      </c>
    </row>
    <row r="141" spans="1:6" s="13" customFormat="1" ht="18.75" hidden="1" x14ac:dyDescent="0.3">
      <c r="A141" s="973"/>
      <c r="B141" s="85"/>
      <c r="C141" s="987"/>
      <c r="D141" s="991"/>
      <c r="E141" s="987"/>
      <c r="F141" s="893">
        <f t="shared" si="13"/>
        <v>0</v>
      </c>
    </row>
    <row r="142" spans="1:6" s="13" customFormat="1" ht="18.75" hidden="1" x14ac:dyDescent="0.3">
      <c r="A142" s="974"/>
      <c r="B142" s="891" t="s">
        <v>740</v>
      </c>
      <c r="C142" s="986">
        <f>SUM(C132:C141)</f>
        <v>0</v>
      </c>
      <c r="D142" s="986">
        <f>SUM(D132:D141)</f>
        <v>0</v>
      </c>
      <c r="E142" s="986">
        <f>SUM(E132:E141)</f>
        <v>0</v>
      </c>
      <c r="F142" s="893">
        <f t="shared" si="13"/>
        <v>0</v>
      </c>
    </row>
    <row r="143" spans="1:6" s="13" customFormat="1" ht="75" hidden="1" x14ac:dyDescent="0.3">
      <c r="A143" s="972" t="s">
        <v>1080</v>
      </c>
      <c r="B143" s="994"/>
      <c r="C143" s="986"/>
      <c r="D143" s="986"/>
      <c r="E143" s="992"/>
      <c r="F143" s="893">
        <f t="shared" si="13"/>
        <v>0</v>
      </c>
    </row>
    <row r="144" spans="1:6" s="13" customFormat="1" ht="18.75" hidden="1" x14ac:dyDescent="0.3">
      <c r="A144" s="973"/>
      <c r="B144" s="994"/>
      <c r="C144" s="986"/>
      <c r="D144" s="986"/>
      <c r="E144" s="992"/>
      <c r="F144" s="893">
        <f t="shared" si="13"/>
        <v>0</v>
      </c>
    </row>
    <row r="145" spans="1:6" s="13" customFormat="1" ht="18.75" hidden="1" x14ac:dyDescent="0.3">
      <c r="A145" s="973"/>
      <c r="B145" s="994"/>
      <c r="C145" s="986"/>
      <c r="D145" s="986"/>
      <c r="E145" s="992"/>
      <c r="F145" s="893">
        <f t="shared" si="13"/>
        <v>0</v>
      </c>
    </row>
    <row r="146" spans="1:6" s="13" customFormat="1" ht="18.75" hidden="1" x14ac:dyDescent="0.3">
      <c r="A146" s="973"/>
      <c r="B146" s="994"/>
      <c r="C146" s="986"/>
      <c r="D146" s="986"/>
      <c r="E146" s="992"/>
      <c r="F146" s="893">
        <f t="shared" si="13"/>
        <v>0</v>
      </c>
    </row>
    <row r="147" spans="1:6" s="13" customFormat="1" ht="18.75" hidden="1" x14ac:dyDescent="0.3">
      <c r="A147" s="973"/>
      <c r="B147" s="85"/>
      <c r="C147" s="992"/>
      <c r="D147" s="992"/>
      <c r="E147" s="992"/>
      <c r="F147" s="893">
        <f t="shared" si="13"/>
        <v>0</v>
      </c>
    </row>
    <row r="148" spans="1:6" s="13" customFormat="1" ht="18.75" hidden="1" x14ac:dyDescent="0.3">
      <c r="A148" s="973"/>
      <c r="B148" s="891"/>
      <c r="C148" s="987"/>
      <c r="D148" s="987"/>
      <c r="E148" s="987"/>
      <c r="F148" s="893">
        <f t="shared" si="13"/>
        <v>0</v>
      </c>
    </row>
    <row r="149" spans="1:6" s="13" customFormat="1" ht="18.75" hidden="1" x14ac:dyDescent="0.3">
      <c r="A149" s="973"/>
      <c r="B149" s="891"/>
      <c r="C149" s="987"/>
      <c r="D149" s="987"/>
      <c r="E149" s="987"/>
      <c r="F149" s="893">
        <f t="shared" si="13"/>
        <v>0</v>
      </c>
    </row>
    <row r="150" spans="1:6" s="13" customFormat="1" ht="18.75" hidden="1" x14ac:dyDescent="0.3">
      <c r="A150" s="973"/>
      <c r="B150" s="891"/>
      <c r="C150" s="987"/>
      <c r="D150" s="987"/>
      <c r="E150" s="987"/>
      <c r="F150" s="893">
        <f t="shared" si="13"/>
        <v>0</v>
      </c>
    </row>
    <row r="151" spans="1:6" s="13" customFormat="1" ht="18.75" hidden="1" x14ac:dyDescent="0.3">
      <c r="A151" s="973"/>
      <c r="B151" s="891"/>
      <c r="C151" s="987"/>
      <c r="D151" s="987"/>
      <c r="E151" s="987"/>
      <c r="F151" s="893">
        <f t="shared" si="13"/>
        <v>0</v>
      </c>
    </row>
    <row r="152" spans="1:6" s="13" customFormat="1" ht="18.75" hidden="1" x14ac:dyDescent="0.3">
      <c r="A152" s="973"/>
      <c r="B152" s="891"/>
      <c r="C152" s="986">
        <f>SUM(D152:E152)</f>
        <v>0</v>
      </c>
      <c r="D152" s="986"/>
      <c r="E152" s="990"/>
      <c r="F152" s="893">
        <f t="shared" si="13"/>
        <v>0</v>
      </c>
    </row>
    <row r="153" spans="1:6" s="13" customFormat="1" ht="18.75" hidden="1" x14ac:dyDescent="0.3">
      <c r="A153" s="974"/>
      <c r="B153" s="891" t="s">
        <v>740</v>
      </c>
      <c r="C153" s="986">
        <f>SUM(C143:C152)</f>
        <v>0</v>
      </c>
      <c r="D153" s="986">
        <f>SUM(D143:D152)</f>
        <v>0</v>
      </c>
      <c r="E153" s="986">
        <f>SUM(E143:E152)</f>
        <v>0</v>
      </c>
      <c r="F153" s="893">
        <f t="shared" si="13"/>
        <v>0</v>
      </c>
    </row>
    <row r="154" spans="1:6" s="13" customFormat="1" ht="93.75" hidden="1" x14ac:dyDescent="0.3">
      <c r="A154" s="972" t="s">
        <v>1081</v>
      </c>
      <c r="B154" s="891"/>
      <c r="C154" s="986">
        <f>SUM(D154:E154)</f>
        <v>0</v>
      </c>
      <c r="D154" s="986"/>
      <c r="E154" s="990"/>
      <c r="F154" s="893">
        <f t="shared" si="13"/>
        <v>0</v>
      </c>
    </row>
    <row r="155" spans="1:6" s="13" customFormat="1" ht="18.75" hidden="1" x14ac:dyDescent="0.3">
      <c r="A155" s="973"/>
      <c r="B155" s="891"/>
      <c r="C155" s="986">
        <f t="shared" ref="C155:C163" si="14">SUM(D155:E155)</f>
        <v>0</v>
      </c>
      <c r="D155" s="986"/>
      <c r="E155" s="990"/>
      <c r="F155" s="893">
        <f t="shared" si="13"/>
        <v>0</v>
      </c>
    </row>
    <row r="156" spans="1:6" s="13" customFormat="1" ht="18.75" hidden="1" x14ac:dyDescent="0.3">
      <c r="A156" s="973"/>
      <c r="B156" s="891"/>
      <c r="C156" s="986">
        <f t="shared" si="14"/>
        <v>0</v>
      </c>
      <c r="D156" s="986"/>
      <c r="E156" s="990"/>
      <c r="F156" s="893">
        <f t="shared" si="13"/>
        <v>0</v>
      </c>
    </row>
    <row r="157" spans="1:6" s="13" customFormat="1" ht="18.75" hidden="1" x14ac:dyDescent="0.3">
      <c r="A157" s="973"/>
      <c r="B157" s="891"/>
      <c r="C157" s="986">
        <f t="shared" si="14"/>
        <v>0</v>
      </c>
      <c r="D157" s="986"/>
      <c r="E157" s="990"/>
      <c r="F157" s="893">
        <f t="shared" si="13"/>
        <v>0</v>
      </c>
    </row>
    <row r="158" spans="1:6" s="13" customFormat="1" ht="18.75" hidden="1" x14ac:dyDescent="0.3">
      <c r="A158" s="973"/>
      <c r="B158" s="891"/>
      <c r="C158" s="986">
        <f t="shared" si="14"/>
        <v>0</v>
      </c>
      <c r="D158" s="986"/>
      <c r="E158" s="990"/>
      <c r="F158" s="893">
        <f t="shared" si="13"/>
        <v>0</v>
      </c>
    </row>
    <row r="159" spans="1:6" s="13" customFormat="1" ht="18.75" hidden="1" x14ac:dyDescent="0.3">
      <c r="A159" s="973"/>
      <c r="B159" s="891"/>
      <c r="C159" s="986">
        <f t="shared" si="14"/>
        <v>0</v>
      </c>
      <c r="D159" s="986"/>
      <c r="E159" s="990"/>
      <c r="F159" s="893">
        <f t="shared" si="13"/>
        <v>0</v>
      </c>
    </row>
    <row r="160" spans="1:6" s="13" customFormat="1" ht="18.75" hidden="1" x14ac:dyDescent="0.3">
      <c r="A160" s="973"/>
      <c r="B160" s="891"/>
      <c r="C160" s="986">
        <f t="shared" si="14"/>
        <v>0</v>
      </c>
      <c r="D160" s="986"/>
      <c r="E160" s="990"/>
      <c r="F160" s="893">
        <f t="shared" si="13"/>
        <v>0</v>
      </c>
    </row>
    <row r="161" spans="1:6" s="13" customFormat="1" ht="18.75" hidden="1" x14ac:dyDescent="0.3">
      <c r="A161" s="973"/>
      <c r="B161" s="891"/>
      <c r="C161" s="986">
        <f t="shared" si="14"/>
        <v>0</v>
      </c>
      <c r="D161" s="986"/>
      <c r="E161" s="990"/>
      <c r="F161" s="893">
        <f t="shared" si="13"/>
        <v>0</v>
      </c>
    </row>
    <row r="162" spans="1:6" s="13" customFormat="1" ht="18.75" hidden="1" x14ac:dyDescent="0.3">
      <c r="A162" s="973"/>
      <c r="B162" s="891"/>
      <c r="C162" s="986">
        <f t="shared" si="14"/>
        <v>0</v>
      </c>
      <c r="D162" s="986"/>
      <c r="E162" s="990"/>
      <c r="F162" s="893">
        <f t="shared" si="13"/>
        <v>0</v>
      </c>
    </row>
    <row r="163" spans="1:6" s="13" customFormat="1" ht="18.75" hidden="1" x14ac:dyDescent="0.3">
      <c r="A163" s="973"/>
      <c r="B163" s="891"/>
      <c r="C163" s="986">
        <f t="shared" si="14"/>
        <v>0</v>
      </c>
      <c r="D163" s="986"/>
      <c r="E163" s="990"/>
      <c r="F163" s="893">
        <f t="shared" si="13"/>
        <v>0</v>
      </c>
    </row>
    <row r="164" spans="1:6" s="13" customFormat="1" ht="18.75" hidden="1" x14ac:dyDescent="0.3">
      <c r="A164" s="974"/>
      <c r="B164" s="891" t="s">
        <v>740</v>
      </c>
      <c r="C164" s="986">
        <f>SUM(C154:C163)</f>
        <v>0</v>
      </c>
      <c r="D164" s="986">
        <f>SUM(D154:D163)</f>
        <v>0</v>
      </c>
      <c r="E164" s="986">
        <f>SUM(E154:E163)</f>
        <v>0</v>
      </c>
      <c r="F164" s="893">
        <f t="shared" si="13"/>
        <v>0</v>
      </c>
    </row>
    <row r="165" spans="1:6" ht="54" customHeight="1" x14ac:dyDescent="0.3">
      <c r="A165" s="1524" t="s">
        <v>1082</v>
      </c>
      <c r="B165" s="1528" t="s">
        <v>1466</v>
      </c>
      <c r="C165" s="1457">
        <v>411942</v>
      </c>
      <c r="D165" s="1457"/>
      <c r="E165" s="1457">
        <v>411942</v>
      </c>
      <c r="F165" s="1525">
        <f t="shared" si="13"/>
        <v>411942</v>
      </c>
    </row>
    <row r="166" spans="1:6" s="13" customFormat="1" ht="18.75" hidden="1" x14ac:dyDescent="0.3">
      <c r="A166" s="973"/>
      <c r="B166" s="995"/>
      <c r="C166" s="987"/>
      <c r="D166" s="987"/>
      <c r="E166" s="987"/>
      <c r="F166" s="893">
        <f t="shared" si="13"/>
        <v>0</v>
      </c>
    </row>
    <row r="167" spans="1:6" s="13" customFormat="1" ht="18.75" hidden="1" x14ac:dyDescent="0.3">
      <c r="A167" s="973"/>
      <c r="B167" s="891"/>
      <c r="C167" s="986">
        <f t="shared" ref="C167:C174" si="15">SUM(D167:E167)</f>
        <v>0</v>
      </c>
      <c r="D167" s="986"/>
      <c r="E167" s="990"/>
      <c r="F167" s="893">
        <f t="shared" si="13"/>
        <v>0</v>
      </c>
    </row>
    <row r="168" spans="1:6" s="13" customFormat="1" ht="18.75" hidden="1" x14ac:dyDescent="0.3">
      <c r="A168" s="973"/>
      <c r="B168" s="891"/>
      <c r="C168" s="986">
        <f t="shared" si="15"/>
        <v>0</v>
      </c>
      <c r="D168" s="986"/>
      <c r="E168" s="990"/>
      <c r="F168" s="893">
        <f t="shared" si="13"/>
        <v>0</v>
      </c>
    </row>
    <row r="169" spans="1:6" s="13" customFormat="1" ht="18.75" hidden="1" x14ac:dyDescent="0.3">
      <c r="A169" s="973"/>
      <c r="B169" s="891"/>
      <c r="C169" s="986">
        <f t="shared" si="15"/>
        <v>0</v>
      </c>
      <c r="D169" s="986"/>
      <c r="E169" s="990"/>
      <c r="F169" s="893">
        <f t="shared" si="13"/>
        <v>0</v>
      </c>
    </row>
    <row r="170" spans="1:6" s="13" customFormat="1" ht="18.75" hidden="1" x14ac:dyDescent="0.3">
      <c r="A170" s="973"/>
      <c r="B170" s="891"/>
      <c r="C170" s="986">
        <f t="shared" si="15"/>
        <v>0</v>
      </c>
      <c r="D170" s="986"/>
      <c r="E170" s="990"/>
      <c r="F170" s="893">
        <f t="shared" si="13"/>
        <v>0</v>
      </c>
    </row>
    <row r="171" spans="1:6" s="13" customFormat="1" ht="18.75" hidden="1" x14ac:dyDescent="0.3">
      <c r="A171" s="973"/>
      <c r="B171" s="891"/>
      <c r="C171" s="986">
        <f t="shared" si="15"/>
        <v>0</v>
      </c>
      <c r="D171" s="986"/>
      <c r="E171" s="990"/>
      <c r="F171" s="893">
        <f t="shared" si="13"/>
        <v>0</v>
      </c>
    </row>
    <row r="172" spans="1:6" s="13" customFormat="1" ht="18.75" hidden="1" x14ac:dyDescent="0.3">
      <c r="A172" s="973"/>
      <c r="B172" s="891"/>
      <c r="C172" s="986">
        <f t="shared" si="15"/>
        <v>0</v>
      </c>
      <c r="D172" s="986"/>
      <c r="E172" s="990"/>
      <c r="F172" s="893">
        <f t="shared" si="13"/>
        <v>0</v>
      </c>
    </row>
    <row r="173" spans="1:6" s="13" customFormat="1" ht="18.75" hidden="1" x14ac:dyDescent="0.3">
      <c r="A173" s="973"/>
      <c r="B173" s="891"/>
      <c r="C173" s="986">
        <f t="shared" si="15"/>
        <v>0</v>
      </c>
      <c r="D173" s="986"/>
      <c r="E173" s="990"/>
      <c r="F173" s="893">
        <f t="shared" si="13"/>
        <v>0</v>
      </c>
    </row>
    <row r="174" spans="1:6" s="13" customFormat="1" ht="18.75" hidden="1" x14ac:dyDescent="0.3">
      <c r="A174" s="973"/>
      <c r="B174" s="891"/>
      <c r="C174" s="986">
        <f t="shared" si="15"/>
        <v>0</v>
      </c>
      <c r="D174" s="986"/>
      <c r="E174" s="990"/>
      <c r="F174" s="893">
        <f t="shared" si="13"/>
        <v>0</v>
      </c>
    </row>
    <row r="175" spans="1:6" ht="18.75" x14ac:dyDescent="0.3">
      <c r="A175" s="1526"/>
      <c r="B175" s="862" t="s">
        <v>740</v>
      </c>
      <c r="C175" s="1438">
        <f>SUM(C165:C174)</f>
        <v>411942</v>
      </c>
      <c r="D175" s="1438">
        <f>SUM(D165:D174)</f>
        <v>0</v>
      </c>
      <c r="E175" s="1438">
        <f>SUM(E165:E174)</f>
        <v>411942</v>
      </c>
      <c r="F175" s="1525">
        <f t="shared" si="13"/>
        <v>411942</v>
      </c>
    </row>
    <row r="176" spans="1:6" s="13" customFormat="1" ht="75" hidden="1" x14ac:dyDescent="0.3">
      <c r="A176" s="972" t="s">
        <v>1083</v>
      </c>
      <c r="B176" s="891"/>
      <c r="C176" s="986">
        <f>SUM(D176:E176)</f>
        <v>0</v>
      </c>
      <c r="D176" s="986"/>
      <c r="E176" s="990"/>
      <c r="F176" s="893">
        <f t="shared" si="13"/>
        <v>0</v>
      </c>
    </row>
    <row r="177" spans="1:6" s="13" customFormat="1" ht="18.75" hidden="1" x14ac:dyDescent="0.3">
      <c r="A177" s="973"/>
      <c r="B177" s="891"/>
      <c r="C177" s="986">
        <f t="shared" ref="C177:C185" si="16">SUM(D177:E177)</f>
        <v>0</v>
      </c>
      <c r="D177" s="986"/>
      <c r="E177" s="990"/>
      <c r="F177" s="893">
        <f t="shared" si="13"/>
        <v>0</v>
      </c>
    </row>
    <row r="178" spans="1:6" s="13" customFormat="1" ht="18.75" hidden="1" x14ac:dyDescent="0.3">
      <c r="A178" s="973"/>
      <c r="B178" s="891"/>
      <c r="C178" s="986">
        <f t="shared" si="16"/>
        <v>0</v>
      </c>
      <c r="D178" s="986"/>
      <c r="E178" s="990"/>
      <c r="F178" s="893">
        <f t="shared" si="13"/>
        <v>0</v>
      </c>
    </row>
    <row r="179" spans="1:6" s="13" customFormat="1" ht="18.75" hidden="1" x14ac:dyDescent="0.3">
      <c r="A179" s="973"/>
      <c r="B179" s="891"/>
      <c r="C179" s="986">
        <f t="shared" si="16"/>
        <v>0</v>
      </c>
      <c r="D179" s="986"/>
      <c r="E179" s="990"/>
      <c r="F179" s="893">
        <f t="shared" si="13"/>
        <v>0</v>
      </c>
    </row>
    <row r="180" spans="1:6" s="13" customFormat="1" ht="18.75" hidden="1" x14ac:dyDescent="0.3">
      <c r="A180" s="973"/>
      <c r="B180" s="891"/>
      <c r="C180" s="986">
        <f t="shared" si="16"/>
        <v>0</v>
      </c>
      <c r="D180" s="986"/>
      <c r="E180" s="990"/>
      <c r="F180" s="893">
        <f t="shared" si="13"/>
        <v>0</v>
      </c>
    </row>
    <row r="181" spans="1:6" s="13" customFormat="1" ht="18.75" hidden="1" x14ac:dyDescent="0.3">
      <c r="A181" s="973"/>
      <c r="B181" s="891"/>
      <c r="C181" s="986">
        <f t="shared" si="16"/>
        <v>0</v>
      </c>
      <c r="D181" s="986"/>
      <c r="E181" s="990"/>
      <c r="F181" s="893">
        <f t="shared" si="13"/>
        <v>0</v>
      </c>
    </row>
    <row r="182" spans="1:6" s="13" customFormat="1" ht="18.75" hidden="1" x14ac:dyDescent="0.3">
      <c r="A182" s="973"/>
      <c r="B182" s="891"/>
      <c r="C182" s="986">
        <f t="shared" si="16"/>
        <v>0</v>
      </c>
      <c r="D182" s="986"/>
      <c r="E182" s="990"/>
      <c r="F182" s="893">
        <f t="shared" si="13"/>
        <v>0</v>
      </c>
    </row>
    <row r="183" spans="1:6" s="13" customFormat="1" ht="18.75" hidden="1" x14ac:dyDescent="0.3">
      <c r="A183" s="973"/>
      <c r="B183" s="891"/>
      <c r="C183" s="986">
        <f t="shared" si="16"/>
        <v>0</v>
      </c>
      <c r="D183" s="986"/>
      <c r="E183" s="990"/>
      <c r="F183" s="893">
        <f t="shared" si="13"/>
        <v>0</v>
      </c>
    </row>
    <row r="184" spans="1:6" s="13" customFormat="1" ht="18.75" hidden="1" x14ac:dyDescent="0.3">
      <c r="A184" s="973"/>
      <c r="B184" s="891"/>
      <c r="C184" s="986">
        <f t="shared" si="16"/>
        <v>0</v>
      </c>
      <c r="D184" s="986"/>
      <c r="E184" s="990"/>
      <c r="F184" s="893">
        <f t="shared" si="13"/>
        <v>0</v>
      </c>
    </row>
    <row r="185" spans="1:6" s="13" customFormat="1" ht="18.75" hidden="1" x14ac:dyDescent="0.3">
      <c r="A185" s="973"/>
      <c r="B185" s="891"/>
      <c r="C185" s="986">
        <f t="shared" si="16"/>
        <v>0</v>
      </c>
      <c r="D185" s="986"/>
      <c r="E185" s="990"/>
      <c r="F185" s="893">
        <f t="shared" si="13"/>
        <v>0</v>
      </c>
    </row>
    <row r="186" spans="1:6" s="13" customFormat="1" ht="18.75" hidden="1" x14ac:dyDescent="0.3">
      <c r="A186" s="974"/>
      <c r="B186" s="891" t="s">
        <v>740</v>
      </c>
      <c r="C186" s="986">
        <f>SUM(C176:C185)</f>
        <v>0</v>
      </c>
      <c r="D186" s="986">
        <f>SUM(D176:D185)</f>
        <v>0</v>
      </c>
      <c r="E186" s="986">
        <f>SUM(E176:E185)</f>
        <v>0</v>
      </c>
      <c r="F186" s="893">
        <f t="shared" si="13"/>
        <v>0</v>
      </c>
    </row>
    <row r="187" spans="1:6" ht="93.75" x14ac:dyDescent="0.3">
      <c r="A187" s="1524" t="s">
        <v>1084</v>
      </c>
      <c r="B187" s="862" t="s">
        <v>1737</v>
      </c>
      <c r="C187" s="1438">
        <f>SUM(D187:E187)</f>
        <v>300000</v>
      </c>
      <c r="D187" s="1438"/>
      <c r="E187" s="1457">
        <v>300000</v>
      </c>
      <c r="F187" s="1525">
        <f t="shared" si="13"/>
        <v>300000</v>
      </c>
    </row>
    <row r="188" spans="1:6" s="13" customFormat="1" ht="18.75" hidden="1" x14ac:dyDescent="0.3">
      <c r="A188" s="973"/>
      <c r="B188" s="85"/>
      <c r="C188" s="986"/>
      <c r="D188" s="986"/>
      <c r="E188" s="992"/>
      <c r="F188" s="893">
        <f t="shared" si="13"/>
        <v>0</v>
      </c>
    </row>
    <row r="189" spans="1:6" s="13" customFormat="1" ht="18.75" hidden="1" x14ac:dyDescent="0.3">
      <c r="A189" s="973"/>
      <c r="B189" s="891"/>
      <c r="C189" s="987"/>
      <c r="D189" s="987"/>
      <c r="E189" s="987"/>
      <c r="F189" s="893">
        <f t="shared" si="13"/>
        <v>0</v>
      </c>
    </row>
    <row r="190" spans="1:6" s="13" customFormat="1" ht="18.75" hidden="1" x14ac:dyDescent="0.3">
      <c r="A190" s="973"/>
      <c r="B190" s="891"/>
      <c r="C190" s="987"/>
      <c r="D190" s="987"/>
      <c r="E190" s="987"/>
      <c r="F190" s="893">
        <f t="shared" si="13"/>
        <v>0</v>
      </c>
    </row>
    <row r="191" spans="1:6" s="13" customFormat="1" ht="18.75" hidden="1" x14ac:dyDescent="0.3">
      <c r="A191" s="973"/>
      <c r="B191" s="891"/>
      <c r="C191" s="987"/>
      <c r="D191" s="987"/>
      <c r="E191" s="987"/>
      <c r="F191" s="893">
        <f t="shared" si="13"/>
        <v>0</v>
      </c>
    </row>
    <row r="192" spans="1:6" s="13" customFormat="1" ht="18.75" hidden="1" x14ac:dyDescent="0.3">
      <c r="A192" s="973"/>
      <c r="B192" s="891"/>
      <c r="C192" s="987"/>
      <c r="D192" s="987"/>
      <c r="E192" s="987"/>
      <c r="F192" s="893">
        <f t="shared" si="13"/>
        <v>0</v>
      </c>
    </row>
    <row r="193" spans="1:6" s="13" customFormat="1" ht="18.75" hidden="1" x14ac:dyDescent="0.3">
      <c r="A193" s="973"/>
      <c r="B193" s="891"/>
      <c r="C193" s="987"/>
      <c r="D193" s="987"/>
      <c r="E193" s="987"/>
      <c r="F193" s="893">
        <f t="shared" si="13"/>
        <v>0</v>
      </c>
    </row>
    <row r="194" spans="1:6" s="13" customFormat="1" ht="18.75" hidden="1" x14ac:dyDescent="0.3">
      <c r="A194" s="973"/>
      <c r="B194" s="891"/>
      <c r="C194" s="987"/>
      <c r="D194" s="987"/>
      <c r="E194" s="987"/>
      <c r="F194" s="893">
        <f t="shared" si="13"/>
        <v>0</v>
      </c>
    </row>
    <row r="195" spans="1:6" s="13" customFormat="1" ht="18.75" hidden="1" x14ac:dyDescent="0.3">
      <c r="A195" s="973"/>
      <c r="B195" s="891"/>
      <c r="C195" s="987"/>
      <c r="D195" s="987"/>
      <c r="E195" s="987"/>
      <c r="F195" s="893">
        <f t="shared" si="13"/>
        <v>0</v>
      </c>
    </row>
    <row r="196" spans="1:6" s="13" customFormat="1" ht="18.75" hidden="1" x14ac:dyDescent="0.3">
      <c r="A196" s="973"/>
      <c r="B196" s="891"/>
      <c r="C196" s="992"/>
      <c r="D196" s="987"/>
      <c r="E196" s="987"/>
      <c r="F196" s="893">
        <f t="shared" si="13"/>
        <v>0</v>
      </c>
    </row>
    <row r="197" spans="1:6" ht="18.75" x14ac:dyDescent="0.3">
      <c r="A197" s="1526"/>
      <c r="B197" s="862" t="s">
        <v>740</v>
      </c>
      <c r="C197" s="1438">
        <f>SUM(C187:C196)</f>
        <v>300000</v>
      </c>
      <c r="D197" s="1438">
        <f>SUM(D187:D196)</f>
        <v>0</v>
      </c>
      <c r="E197" s="1438">
        <f>SUM(E187:E196)</f>
        <v>300000</v>
      </c>
      <c r="F197" s="1525">
        <f t="shared" si="13"/>
        <v>300000</v>
      </c>
    </row>
    <row r="198" spans="1:6" ht="93.75" x14ac:dyDescent="0.3">
      <c r="A198" s="1524" t="s">
        <v>1085</v>
      </c>
      <c r="B198" s="862" t="s">
        <v>1738</v>
      </c>
      <c r="C198" s="1438">
        <f>SUM(D198:E198)</f>
        <v>400000</v>
      </c>
      <c r="D198" s="1438"/>
      <c r="E198" s="1438">
        <v>400000</v>
      </c>
      <c r="F198" s="1525">
        <f t="shared" si="13"/>
        <v>400000</v>
      </c>
    </row>
    <row r="199" spans="1:6" s="13" customFormat="1" ht="18.75" hidden="1" x14ac:dyDescent="0.3">
      <c r="A199" s="973"/>
      <c r="B199" s="891"/>
      <c r="C199" s="986"/>
      <c r="D199" s="986"/>
      <c r="E199" s="990"/>
      <c r="F199" s="893">
        <f t="shared" si="13"/>
        <v>0</v>
      </c>
    </row>
    <row r="200" spans="1:6" s="13" customFormat="1" ht="18.75" hidden="1" x14ac:dyDescent="0.3">
      <c r="A200" s="973"/>
      <c r="B200" s="891"/>
      <c r="C200" s="986">
        <f t="shared" ref="C200:C207" si="17">SUM(D200:E200)</f>
        <v>0</v>
      </c>
      <c r="D200" s="986"/>
      <c r="E200" s="990"/>
      <c r="F200" s="893">
        <f t="shared" si="13"/>
        <v>0</v>
      </c>
    </row>
    <row r="201" spans="1:6" s="13" customFormat="1" ht="18.75" hidden="1" x14ac:dyDescent="0.3">
      <c r="A201" s="973"/>
      <c r="B201" s="891"/>
      <c r="C201" s="986">
        <f t="shared" si="17"/>
        <v>0</v>
      </c>
      <c r="D201" s="986"/>
      <c r="E201" s="990"/>
      <c r="F201" s="893">
        <f t="shared" si="13"/>
        <v>0</v>
      </c>
    </row>
    <row r="202" spans="1:6" s="13" customFormat="1" ht="18.75" hidden="1" x14ac:dyDescent="0.3">
      <c r="A202" s="973"/>
      <c r="B202" s="891"/>
      <c r="C202" s="986">
        <f t="shared" si="17"/>
        <v>0</v>
      </c>
      <c r="D202" s="986"/>
      <c r="E202" s="990"/>
      <c r="F202" s="893">
        <f t="shared" si="13"/>
        <v>0</v>
      </c>
    </row>
    <row r="203" spans="1:6" s="13" customFormat="1" ht="18.75" hidden="1" x14ac:dyDescent="0.3">
      <c r="A203" s="973"/>
      <c r="B203" s="891"/>
      <c r="C203" s="986">
        <f t="shared" si="17"/>
        <v>0</v>
      </c>
      <c r="D203" s="986"/>
      <c r="E203" s="990"/>
      <c r="F203" s="893">
        <f t="shared" si="13"/>
        <v>0</v>
      </c>
    </row>
    <row r="204" spans="1:6" s="13" customFormat="1" ht="18.75" hidden="1" x14ac:dyDescent="0.3">
      <c r="A204" s="973"/>
      <c r="B204" s="891"/>
      <c r="C204" s="986">
        <f t="shared" si="17"/>
        <v>0</v>
      </c>
      <c r="D204" s="986"/>
      <c r="E204" s="990"/>
      <c r="F204" s="893">
        <f t="shared" ref="F204:F267" si="18">C204</f>
        <v>0</v>
      </c>
    </row>
    <row r="205" spans="1:6" s="13" customFormat="1" ht="18.75" hidden="1" x14ac:dyDescent="0.3">
      <c r="A205" s="973"/>
      <c r="B205" s="891"/>
      <c r="C205" s="986">
        <f t="shared" si="17"/>
        <v>0</v>
      </c>
      <c r="D205" s="986"/>
      <c r="E205" s="990"/>
      <c r="F205" s="893">
        <f t="shared" si="18"/>
        <v>0</v>
      </c>
    </row>
    <row r="206" spans="1:6" s="13" customFormat="1" ht="18.75" hidden="1" x14ac:dyDescent="0.3">
      <c r="A206" s="973"/>
      <c r="B206" s="891"/>
      <c r="C206" s="986">
        <f t="shared" si="17"/>
        <v>0</v>
      </c>
      <c r="D206" s="986"/>
      <c r="E206" s="990"/>
      <c r="F206" s="893">
        <f t="shared" si="18"/>
        <v>0</v>
      </c>
    </row>
    <row r="207" spans="1:6" s="13" customFormat="1" ht="18.75" hidden="1" x14ac:dyDescent="0.3">
      <c r="A207" s="973"/>
      <c r="B207" s="891"/>
      <c r="C207" s="986">
        <f t="shared" si="17"/>
        <v>0</v>
      </c>
      <c r="D207" s="986"/>
      <c r="E207" s="990"/>
      <c r="F207" s="893">
        <f t="shared" si="18"/>
        <v>0</v>
      </c>
    </row>
    <row r="208" spans="1:6" ht="18.75" x14ac:dyDescent="0.3">
      <c r="A208" s="1526"/>
      <c r="B208" s="862" t="s">
        <v>740</v>
      </c>
      <c r="C208" s="1438">
        <f>SUM(C198:C207)</f>
        <v>400000</v>
      </c>
      <c r="D208" s="1438">
        <f>SUM(D198:D207)</f>
        <v>0</v>
      </c>
      <c r="E208" s="1438">
        <f>SUM(E198:E207)</f>
        <v>400000</v>
      </c>
      <c r="F208" s="1525">
        <f t="shared" si="18"/>
        <v>400000</v>
      </c>
    </row>
    <row r="209" spans="1:6" s="13" customFormat="1" ht="93.75" hidden="1" x14ac:dyDescent="0.3">
      <c r="A209" s="972" t="s">
        <v>1086</v>
      </c>
      <c r="B209" s="891"/>
      <c r="C209" s="987"/>
      <c r="D209" s="987"/>
      <c r="E209" s="987"/>
      <c r="F209" s="893">
        <f t="shared" si="18"/>
        <v>0</v>
      </c>
    </row>
    <row r="210" spans="1:6" s="13" customFormat="1" ht="18.75" hidden="1" x14ac:dyDescent="0.3">
      <c r="A210" s="973"/>
      <c r="B210" s="891"/>
      <c r="C210" s="987"/>
      <c r="D210" s="987"/>
      <c r="E210" s="987"/>
      <c r="F210" s="893">
        <f t="shared" si="18"/>
        <v>0</v>
      </c>
    </row>
    <row r="211" spans="1:6" s="13" customFormat="1" ht="18.75" hidden="1" x14ac:dyDescent="0.3">
      <c r="A211" s="973"/>
      <c r="B211" s="891"/>
      <c r="C211" s="986">
        <f t="shared" ref="C211:C218" si="19">SUM(D211:E211)</f>
        <v>0</v>
      </c>
      <c r="D211" s="986"/>
      <c r="E211" s="990"/>
      <c r="F211" s="893">
        <f t="shared" si="18"/>
        <v>0</v>
      </c>
    </row>
    <row r="212" spans="1:6" s="13" customFormat="1" ht="18.75" hidden="1" x14ac:dyDescent="0.3">
      <c r="A212" s="973"/>
      <c r="B212" s="891"/>
      <c r="C212" s="986">
        <f t="shared" si="19"/>
        <v>0</v>
      </c>
      <c r="D212" s="986"/>
      <c r="E212" s="990"/>
      <c r="F212" s="893">
        <f t="shared" si="18"/>
        <v>0</v>
      </c>
    </row>
    <row r="213" spans="1:6" s="13" customFormat="1" ht="18.75" hidden="1" x14ac:dyDescent="0.3">
      <c r="A213" s="973"/>
      <c r="B213" s="891"/>
      <c r="C213" s="986">
        <f t="shared" si="19"/>
        <v>0</v>
      </c>
      <c r="D213" s="986"/>
      <c r="E213" s="990"/>
      <c r="F213" s="893">
        <f t="shared" si="18"/>
        <v>0</v>
      </c>
    </row>
    <row r="214" spans="1:6" s="13" customFormat="1" ht="18.75" hidden="1" x14ac:dyDescent="0.3">
      <c r="A214" s="973"/>
      <c r="B214" s="891"/>
      <c r="C214" s="986">
        <f t="shared" si="19"/>
        <v>0</v>
      </c>
      <c r="D214" s="986"/>
      <c r="E214" s="990"/>
      <c r="F214" s="893">
        <f t="shared" si="18"/>
        <v>0</v>
      </c>
    </row>
    <row r="215" spans="1:6" s="13" customFormat="1" ht="18.75" hidden="1" x14ac:dyDescent="0.3">
      <c r="A215" s="973"/>
      <c r="B215" s="891"/>
      <c r="C215" s="986">
        <f t="shared" si="19"/>
        <v>0</v>
      </c>
      <c r="D215" s="986"/>
      <c r="E215" s="990"/>
      <c r="F215" s="893">
        <f t="shared" si="18"/>
        <v>0</v>
      </c>
    </row>
    <row r="216" spans="1:6" s="13" customFormat="1" ht="18.75" hidden="1" x14ac:dyDescent="0.3">
      <c r="A216" s="973"/>
      <c r="B216" s="891"/>
      <c r="C216" s="986">
        <f t="shared" si="19"/>
        <v>0</v>
      </c>
      <c r="D216" s="986"/>
      <c r="E216" s="990"/>
      <c r="F216" s="893">
        <f t="shared" si="18"/>
        <v>0</v>
      </c>
    </row>
    <row r="217" spans="1:6" s="13" customFormat="1" ht="18.75" hidden="1" x14ac:dyDescent="0.3">
      <c r="A217" s="973"/>
      <c r="B217" s="891"/>
      <c r="C217" s="986">
        <f t="shared" si="19"/>
        <v>0</v>
      </c>
      <c r="D217" s="986"/>
      <c r="E217" s="990"/>
      <c r="F217" s="893">
        <f t="shared" si="18"/>
        <v>0</v>
      </c>
    </row>
    <row r="218" spans="1:6" s="13" customFormat="1" ht="18.75" hidden="1" x14ac:dyDescent="0.3">
      <c r="A218" s="973"/>
      <c r="B218" s="891"/>
      <c r="C218" s="986">
        <f t="shared" si="19"/>
        <v>0</v>
      </c>
      <c r="D218" s="986"/>
      <c r="E218" s="990"/>
      <c r="F218" s="893">
        <f t="shared" si="18"/>
        <v>0</v>
      </c>
    </row>
    <row r="219" spans="1:6" s="13" customFormat="1" ht="18.75" hidden="1" x14ac:dyDescent="0.3">
      <c r="A219" s="974"/>
      <c r="B219" s="891" t="s">
        <v>740</v>
      </c>
      <c r="C219" s="986">
        <f>SUM(C209:C218)</f>
        <v>0</v>
      </c>
      <c r="D219" s="986">
        <f>SUM(D209:D218)</f>
        <v>0</v>
      </c>
      <c r="E219" s="986">
        <f>SUM(E209:E218)</f>
        <v>0</v>
      </c>
      <c r="F219" s="893">
        <f t="shared" si="18"/>
        <v>0</v>
      </c>
    </row>
    <row r="220" spans="1:6" s="13" customFormat="1" ht="93.75" hidden="1" x14ac:dyDescent="0.3">
      <c r="A220" s="972" t="s">
        <v>1087</v>
      </c>
      <c r="B220" s="85"/>
      <c r="C220" s="986"/>
      <c r="D220" s="992"/>
      <c r="E220" s="992"/>
      <c r="F220" s="893">
        <f t="shared" si="18"/>
        <v>0</v>
      </c>
    </row>
    <row r="221" spans="1:6" s="13" customFormat="1" ht="18.75" hidden="1" x14ac:dyDescent="0.3">
      <c r="A221" s="973"/>
      <c r="B221" s="85"/>
      <c r="C221" s="986"/>
      <c r="D221" s="992"/>
      <c r="E221" s="992"/>
      <c r="F221" s="893">
        <f t="shared" si="18"/>
        <v>0</v>
      </c>
    </row>
    <row r="222" spans="1:6" s="13" customFormat="1" ht="18.75" hidden="1" x14ac:dyDescent="0.3">
      <c r="A222" s="973"/>
      <c r="B222" s="85"/>
      <c r="C222" s="986"/>
      <c r="D222" s="992"/>
      <c r="E222" s="992"/>
      <c r="F222" s="893">
        <f t="shared" si="18"/>
        <v>0</v>
      </c>
    </row>
    <row r="223" spans="1:6" s="13" customFormat="1" ht="18.75" hidden="1" x14ac:dyDescent="0.3">
      <c r="A223" s="973"/>
      <c r="B223" s="85"/>
      <c r="C223" s="987"/>
      <c r="D223" s="987"/>
      <c r="E223" s="987"/>
      <c r="F223" s="893">
        <f t="shared" si="18"/>
        <v>0</v>
      </c>
    </row>
    <row r="224" spans="1:6" s="13" customFormat="1" ht="18.75" hidden="1" x14ac:dyDescent="0.3">
      <c r="A224" s="973"/>
      <c r="B224" s="891"/>
      <c r="C224" s="986">
        <f t="shared" ref="C224:C229" si="20">SUM(D224:E224)</f>
        <v>0</v>
      </c>
      <c r="D224" s="986"/>
      <c r="E224" s="990"/>
      <c r="F224" s="893">
        <f t="shared" si="18"/>
        <v>0</v>
      </c>
    </row>
    <row r="225" spans="1:6" s="13" customFormat="1" ht="18.75" hidden="1" x14ac:dyDescent="0.3">
      <c r="A225" s="973"/>
      <c r="B225" s="891"/>
      <c r="C225" s="986">
        <f t="shared" si="20"/>
        <v>0</v>
      </c>
      <c r="D225" s="986"/>
      <c r="E225" s="990"/>
      <c r="F225" s="893">
        <f t="shared" si="18"/>
        <v>0</v>
      </c>
    </row>
    <row r="226" spans="1:6" s="13" customFormat="1" ht="18.75" hidden="1" x14ac:dyDescent="0.3">
      <c r="A226" s="973"/>
      <c r="B226" s="891"/>
      <c r="C226" s="986">
        <f t="shared" si="20"/>
        <v>0</v>
      </c>
      <c r="D226" s="986"/>
      <c r="E226" s="990"/>
      <c r="F226" s="893">
        <f t="shared" si="18"/>
        <v>0</v>
      </c>
    </row>
    <row r="227" spans="1:6" s="13" customFormat="1" ht="18.75" hidden="1" x14ac:dyDescent="0.3">
      <c r="A227" s="973"/>
      <c r="B227" s="891"/>
      <c r="C227" s="986">
        <f t="shared" si="20"/>
        <v>0</v>
      </c>
      <c r="D227" s="986"/>
      <c r="E227" s="990"/>
      <c r="F227" s="893">
        <f t="shared" si="18"/>
        <v>0</v>
      </c>
    </row>
    <row r="228" spans="1:6" s="13" customFormat="1" ht="18.75" hidden="1" x14ac:dyDescent="0.3">
      <c r="A228" s="973"/>
      <c r="B228" s="891"/>
      <c r="C228" s="986">
        <f t="shared" si="20"/>
        <v>0</v>
      </c>
      <c r="D228" s="986"/>
      <c r="E228" s="990"/>
      <c r="F228" s="893">
        <f t="shared" si="18"/>
        <v>0</v>
      </c>
    </row>
    <row r="229" spans="1:6" s="13" customFormat="1" ht="18.75" hidden="1" x14ac:dyDescent="0.3">
      <c r="A229" s="973"/>
      <c r="B229" s="891"/>
      <c r="C229" s="986">
        <f t="shared" si="20"/>
        <v>0</v>
      </c>
      <c r="D229" s="986"/>
      <c r="E229" s="990"/>
      <c r="F229" s="893">
        <f t="shared" si="18"/>
        <v>0</v>
      </c>
    </row>
    <row r="230" spans="1:6" s="13" customFormat="1" ht="18.75" hidden="1" x14ac:dyDescent="0.3">
      <c r="A230" s="974"/>
      <c r="B230" s="891" t="s">
        <v>740</v>
      </c>
      <c r="C230" s="986">
        <f>SUM(C220:C229)</f>
        <v>0</v>
      </c>
      <c r="D230" s="986">
        <f>SUM(D220:D229)</f>
        <v>0</v>
      </c>
      <c r="E230" s="986">
        <f>SUM(E220:E229)</f>
        <v>0</v>
      </c>
      <c r="F230" s="893">
        <f t="shared" si="18"/>
        <v>0</v>
      </c>
    </row>
    <row r="231" spans="1:6" s="13" customFormat="1" ht="75" hidden="1" x14ac:dyDescent="0.3">
      <c r="A231" s="972" t="s">
        <v>1088</v>
      </c>
      <c r="B231" s="85"/>
      <c r="C231" s="986"/>
      <c r="D231" s="986"/>
      <c r="E231" s="990"/>
      <c r="F231" s="893">
        <f t="shared" si="18"/>
        <v>0</v>
      </c>
    </row>
    <row r="232" spans="1:6" s="13" customFormat="1" ht="18.75" hidden="1" x14ac:dyDescent="0.3">
      <c r="A232" s="973"/>
      <c r="B232" s="891"/>
      <c r="C232" s="986">
        <f t="shared" ref="C232:C240" si="21">SUM(D232:E232)</f>
        <v>0</v>
      </c>
      <c r="D232" s="986"/>
      <c r="E232" s="990"/>
      <c r="F232" s="893">
        <f t="shared" si="18"/>
        <v>0</v>
      </c>
    </row>
    <row r="233" spans="1:6" s="13" customFormat="1" ht="18.75" hidden="1" x14ac:dyDescent="0.3">
      <c r="A233" s="973"/>
      <c r="B233" s="891"/>
      <c r="C233" s="986">
        <f t="shared" si="21"/>
        <v>0</v>
      </c>
      <c r="D233" s="986"/>
      <c r="E233" s="990"/>
      <c r="F233" s="893">
        <f t="shared" si="18"/>
        <v>0</v>
      </c>
    </row>
    <row r="234" spans="1:6" s="13" customFormat="1" ht="18.75" hidden="1" x14ac:dyDescent="0.3">
      <c r="A234" s="973"/>
      <c r="B234" s="891"/>
      <c r="C234" s="986">
        <f t="shared" si="21"/>
        <v>0</v>
      </c>
      <c r="D234" s="986"/>
      <c r="E234" s="990"/>
      <c r="F234" s="893">
        <f t="shared" si="18"/>
        <v>0</v>
      </c>
    </row>
    <row r="235" spans="1:6" s="13" customFormat="1" ht="18.75" hidden="1" x14ac:dyDescent="0.3">
      <c r="A235" s="973"/>
      <c r="B235" s="891"/>
      <c r="C235" s="986">
        <f t="shared" si="21"/>
        <v>0</v>
      </c>
      <c r="D235" s="986"/>
      <c r="E235" s="990"/>
      <c r="F235" s="893">
        <f t="shared" si="18"/>
        <v>0</v>
      </c>
    </row>
    <row r="236" spans="1:6" s="13" customFormat="1" ht="18.75" hidden="1" x14ac:dyDescent="0.3">
      <c r="A236" s="973"/>
      <c r="B236" s="891"/>
      <c r="C236" s="986">
        <f t="shared" si="21"/>
        <v>0</v>
      </c>
      <c r="D236" s="986"/>
      <c r="E236" s="990"/>
      <c r="F236" s="893">
        <f t="shared" si="18"/>
        <v>0</v>
      </c>
    </row>
    <row r="237" spans="1:6" s="13" customFormat="1" ht="18.75" hidden="1" x14ac:dyDescent="0.3">
      <c r="A237" s="973"/>
      <c r="B237" s="891"/>
      <c r="C237" s="986">
        <f t="shared" si="21"/>
        <v>0</v>
      </c>
      <c r="D237" s="986"/>
      <c r="E237" s="990"/>
      <c r="F237" s="893">
        <f t="shared" si="18"/>
        <v>0</v>
      </c>
    </row>
    <row r="238" spans="1:6" s="13" customFormat="1" ht="18.75" hidden="1" x14ac:dyDescent="0.3">
      <c r="A238" s="973"/>
      <c r="B238" s="891"/>
      <c r="C238" s="986">
        <f t="shared" si="21"/>
        <v>0</v>
      </c>
      <c r="D238" s="986"/>
      <c r="E238" s="990"/>
      <c r="F238" s="893">
        <f t="shared" si="18"/>
        <v>0</v>
      </c>
    </row>
    <row r="239" spans="1:6" s="13" customFormat="1" ht="18.75" hidden="1" x14ac:dyDescent="0.3">
      <c r="A239" s="973"/>
      <c r="B239" s="891"/>
      <c r="C239" s="986">
        <f t="shared" si="21"/>
        <v>0</v>
      </c>
      <c r="D239" s="986"/>
      <c r="E239" s="990"/>
      <c r="F239" s="893">
        <f t="shared" si="18"/>
        <v>0</v>
      </c>
    </row>
    <row r="240" spans="1:6" s="13" customFormat="1" ht="18.75" hidden="1" x14ac:dyDescent="0.3">
      <c r="A240" s="973"/>
      <c r="B240" s="891"/>
      <c r="C240" s="986">
        <f t="shared" si="21"/>
        <v>0</v>
      </c>
      <c r="D240" s="986"/>
      <c r="E240" s="990"/>
      <c r="F240" s="893">
        <f t="shared" si="18"/>
        <v>0</v>
      </c>
    </row>
    <row r="241" spans="1:6" s="13" customFormat="1" ht="18.75" hidden="1" x14ac:dyDescent="0.3">
      <c r="A241" s="974"/>
      <c r="B241" s="891" t="s">
        <v>740</v>
      </c>
      <c r="C241" s="986">
        <f>SUM(C231:C240)</f>
        <v>0</v>
      </c>
      <c r="D241" s="986">
        <f>SUM(D231:D240)</f>
        <v>0</v>
      </c>
      <c r="E241" s="986">
        <f>SUM(E231:E240)</f>
        <v>0</v>
      </c>
      <c r="F241" s="893">
        <f t="shared" si="18"/>
        <v>0</v>
      </c>
    </row>
    <row r="242" spans="1:6" s="13" customFormat="1" ht="93.75" hidden="1" customHeight="1" x14ac:dyDescent="0.3">
      <c r="A242" s="1669" t="s">
        <v>1089</v>
      </c>
      <c r="B242" s="891"/>
      <c r="C242" s="987"/>
      <c r="D242" s="987"/>
      <c r="E242" s="987"/>
      <c r="F242" s="893">
        <f t="shared" si="18"/>
        <v>0</v>
      </c>
    </row>
    <row r="243" spans="1:6" ht="112.5" x14ac:dyDescent="0.3">
      <c r="A243" s="1667"/>
      <c r="B243" s="862" t="s">
        <v>1739</v>
      </c>
      <c r="C243" s="1457">
        <v>200000</v>
      </c>
      <c r="D243" s="1457">
        <v>200000</v>
      </c>
      <c r="E243" s="1457"/>
      <c r="F243" s="1525">
        <f t="shared" si="18"/>
        <v>200000</v>
      </c>
    </row>
    <row r="244" spans="1:6" s="13" customFormat="1" ht="18.75" hidden="1" x14ac:dyDescent="0.3">
      <c r="A244" s="973"/>
      <c r="B244" s="891"/>
      <c r="C244" s="986">
        <f t="shared" ref="C244:C251" si="22">SUM(D244:E244)</f>
        <v>0</v>
      </c>
      <c r="D244" s="986"/>
      <c r="E244" s="990"/>
      <c r="F244" s="893">
        <f t="shared" si="18"/>
        <v>0</v>
      </c>
    </row>
    <row r="245" spans="1:6" s="13" customFormat="1" ht="18.75" hidden="1" x14ac:dyDescent="0.3">
      <c r="A245" s="973"/>
      <c r="B245" s="891"/>
      <c r="C245" s="986">
        <f t="shared" si="22"/>
        <v>0</v>
      </c>
      <c r="D245" s="986"/>
      <c r="E245" s="990"/>
      <c r="F245" s="893">
        <f t="shared" si="18"/>
        <v>0</v>
      </c>
    </row>
    <row r="246" spans="1:6" s="13" customFormat="1" ht="18.75" hidden="1" x14ac:dyDescent="0.3">
      <c r="A246" s="973"/>
      <c r="B246" s="891"/>
      <c r="C246" s="986">
        <f t="shared" si="22"/>
        <v>0</v>
      </c>
      <c r="D246" s="986"/>
      <c r="E246" s="990"/>
      <c r="F246" s="893">
        <f t="shared" si="18"/>
        <v>0</v>
      </c>
    </row>
    <row r="247" spans="1:6" s="13" customFormat="1" ht="18.75" hidden="1" x14ac:dyDescent="0.3">
      <c r="A247" s="973"/>
      <c r="B247" s="891"/>
      <c r="C247" s="986">
        <f t="shared" si="22"/>
        <v>0</v>
      </c>
      <c r="D247" s="986"/>
      <c r="E247" s="990"/>
      <c r="F247" s="893">
        <f t="shared" si="18"/>
        <v>0</v>
      </c>
    </row>
    <row r="248" spans="1:6" s="13" customFormat="1" ht="18.75" hidden="1" x14ac:dyDescent="0.3">
      <c r="A248" s="973"/>
      <c r="B248" s="891"/>
      <c r="C248" s="986">
        <f t="shared" si="22"/>
        <v>0</v>
      </c>
      <c r="D248" s="986"/>
      <c r="E248" s="990"/>
      <c r="F248" s="893">
        <f t="shared" si="18"/>
        <v>0</v>
      </c>
    </row>
    <row r="249" spans="1:6" s="13" customFormat="1" ht="18.75" hidden="1" x14ac:dyDescent="0.3">
      <c r="A249" s="973"/>
      <c r="B249" s="891"/>
      <c r="C249" s="986">
        <f t="shared" si="22"/>
        <v>0</v>
      </c>
      <c r="D249" s="986"/>
      <c r="E249" s="990"/>
      <c r="F249" s="893">
        <f t="shared" si="18"/>
        <v>0</v>
      </c>
    </row>
    <row r="250" spans="1:6" s="13" customFormat="1" ht="18.75" hidden="1" x14ac:dyDescent="0.3">
      <c r="A250" s="973"/>
      <c r="B250" s="891"/>
      <c r="C250" s="986">
        <f t="shared" si="22"/>
        <v>0</v>
      </c>
      <c r="D250" s="986"/>
      <c r="E250" s="990"/>
      <c r="F250" s="893">
        <f t="shared" si="18"/>
        <v>0</v>
      </c>
    </row>
    <row r="251" spans="1:6" s="13" customFormat="1" ht="18.75" hidden="1" x14ac:dyDescent="0.3">
      <c r="A251" s="973"/>
      <c r="B251" s="891"/>
      <c r="C251" s="986">
        <f t="shared" si="22"/>
        <v>0</v>
      </c>
      <c r="D251" s="986"/>
      <c r="E251" s="990"/>
      <c r="F251" s="893">
        <f t="shared" si="18"/>
        <v>0</v>
      </c>
    </row>
    <row r="252" spans="1:6" ht="18.75" x14ac:dyDescent="0.3">
      <c r="A252" s="1526"/>
      <c r="B252" s="862" t="s">
        <v>740</v>
      </c>
      <c r="C252" s="1438">
        <f>SUM(C242:C251)</f>
        <v>200000</v>
      </c>
      <c r="D252" s="1438">
        <f>SUM(D242:D251)</f>
        <v>200000</v>
      </c>
      <c r="E252" s="1438">
        <f>SUM(E242:E251)</f>
        <v>0</v>
      </c>
      <c r="F252" s="1525">
        <f t="shared" si="18"/>
        <v>200000</v>
      </c>
    </row>
    <row r="253" spans="1:6" s="13" customFormat="1" ht="75" hidden="1" x14ac:dyDescent="0.3">
      <c r="A253" s="972" t="s">
        <v>1090</v>
      </c>
      <c r="B253" s="891"/>
      <c r="C253" s="987"/>
      <c r="D253" s="987"/>
      <c r="E253" s="987"/>
      <c r="F253" s="893">
        <f t="shared" si="18"/>
        <v>0</v>
      </c>
    </row>
    <row r="254" spans="1:6" s="13" customFormat="1" ht="18.75" hidden="1" x14ac:dyDescent="0.3">
      <c r="A254" s="973"/>
      <c r="B254" s="891"/>
      <c r="C254" s="986">
        <f t="shared" ref="C254:C262" si="23">SUM(D254:E254)</f>
        <v>0</v>
      </c>
      <c r="D254" s="986"/>
      <c r="E254" s="990"/>
      <c r="F254" s="893">
        <f t="shared" si="18"/>
        <v>0</v>
      </c>
    </row>
    <row r="255" spans="1:6" s="13" customFormat="1" ht="18.75" hidden="1" x14ac:dyDescent="0.3">
      <c r="A255" s="973"/>
      <c r="B255" s="891"/>
      <c r="C255" s="986">
        <f t="shared" si="23"/>
        <v>0</v>
      </c>
      <c r="D255" s="986"/>
      <c r="E255" s="990"/>
      <c r="F255" s="893">
        <f t="shared" si="18"/>
        <v>0</v>
      </c>
    </row>
    <row r="256" spans="1:6" s="13" customFormat="1" ht="18.75" hidden="1" x14ac:dyDescent="0.3">
      <c r="A256" s="973"/>
      <c r="B256" s="891"/>
      <c r="C256" s="986">
        <f t="shared" si="23"/>
        <v>0</v>
      </c>
      <c r="D256" s="986"/>
      <c r="E256" s="990"/>
      <c r="F256" s="893">
        <f t="shared" si="18"/>
        <v>0</v>
      </c>
    </row>
    <row r="257" spans="1:6" s="13" customFormat="1" ht="18.75" hidden="1" x14ac:dyDescent="0.3">
      <c r="A257" s="973"/>
      <c r="B257" s="891"/>
      <c r="C257" s="986">
        <f t="shared" si="23"/>
        <v>0</v>
      </c>
      <c r="D257" s="986"/>
      <c r="E257" s="990"/>
      <c r="F257" s="893">
        <f t="shared" si="18"/>
        <v>0</v>
      </c>
    </row>
    <row r="258" spans="1:6" s="13" customFormat="1" ht="18.75" hidden="1" x14ac:dyDescent="0.3">
      <c r="A258" s="973"/>
      <c r="B258" s="891"/>
      <c r="C258" s="986">
        <f t="shared" si="23"/>
        <v>0</v>
      </c>
      <c r="D258" s="986"/>
      <c r="E258" s="990"/>
      <c r="F258" s="893">
        <f t="shared" si="18"/>
        <v>0</v>
      </c>
    </row>
    <row r="259" spans="1:6" s="13" customFormat="1" ht="18.75" hidden="1" x14ac:dyDescent="0.3">
      <c r="A259" s="973"/>
      <c r="B259" s="891"/>
      <c r="C259" s="986">
        <f t="shared" si="23"/>
        <v>0</v>
      </c>
      <c r="D259" s="986"/>
      <c r="E259" s="990"/>
      <c r="F259" s="893">
        <f t="shared" si="18"/>
        <v>0</v>
      </c>
    </row>
    <row r="260" spans="1:6" s="13" customFormat="1" ht="18.75" hidden="1" x14ac:dyDescent="0.3">
      <c r="A260" s="973"/>
      <c r="B260" s="891"/>
      <c r="C260" s="986">
        <f t="shared" si="23"/>
        <v>0</v>
      </c>
      <c r="D260" s="986"/>
      <c r="E260" s="990"/>
      <c r="F260" s="893">
        <f t="shared" si="18"/>
        <v>0</v>
      </c>
    </row>
    <row r="261" spans="1:6" s="13" customFormat="1" ht="18.75" hidden="1" x14ac:dyDescent="0.3">
      <c r="A261" s="973"/>
      <c r="B261" s="891"/>
      <c r="C261" s="986">
        <f t="shared" si="23"/>
        <v>0</v>
      </c>
      <c r="D261" s="986"/>
      <c r="E261" s="990"/>
      <c r="F261" s="893">
        <f t="shared" si="18"/>
        <v>0</v>
      </c>
    </row>
    <row r="262" spans="1:6" s="13" customFormat="1" ht="18.75" hidden="1" x14ac:dyDescent="0.3">
      <c r="A262" s="973"/>
      <c r="B262" s="891"/>
      <c r="C262" s="986">
        <f t="shared" si="23"/>
        <v>0</v>
      </c>
      <c r="D262" s="986"/>
      <c r="E262" s="990"/>
      <c r="F262" s="893">
        <f t="shared" si="18"/>
        <v>0</v>
      </c>
    </row>
    <row r="263" spans="1:6" s="13" customFormat="1" ht="18.75" hidden="1" x14ac:dyDescent="0.3">
      <c r="A263" s="974"/>
      <c r="B263" s="891" t="s">
        <v>740</v>
      </c>
      <c r="C263" s="986">
        <f>SUM(C253:C262)</f>
        <v>0</v>
      </c>
      <c r="D263" s="986">
        <f>SUM(D253:D262)</f>
        <v>0</v>
      </c>
      <c r="E263" s="986">
        <f>SUM(E253:E262)</f>
        <v>0</v>
      </c>
      <c r="F263" s="893">
        <f t="shared" si="18"/>
        <v>0</v>
      </c>
    </row>
    <row r="264" spans="1:6" ht="93.75" x14ac:dyDescent="0.3">
      <c r="A264" s="1524" t="s">
        <v>1091</v>
      </c>
      <c r="B264" s="862" t="s">
        <v>1740</v>
      </c>
      <c r="C264" s="1438">
        <f>SUM(D264:E264)</f>
        <v>100000</v>
      </c>
      <c r="D264" s="1457">
        <v>100000</v>
      </c>
      <c r="E264" s="1438"/>
      <c r="F264" s="1525">
        <f t="shared" si="18"/>
        <v>100000</v>
      </c>
    </row>
    <row r="265" spans="1:6" ht="56.25" x14ac:dyDescent="0.3">
      <c r="A265" s="1527"/>
      <c r="B265" s="862" t="s">
        <v>1740</v>
      </c>
      <c r="C265" s="1438">
        <f>SUM(D265:E265)</f>
        <v>90000</v>
      </c>
      <c r="D265" s="1438">
        <v>90000</v>
      </c>
      <c r="E265" s="1438"/>
      <c r="F265" s="1525">
        <f t="shared" si="18"/>
        <v>90000</v>
      </c>
    </row>
    <row r="266" spans="1:6" ht="56.25" x14ac:dyDescent="0.3">
      <c r="A266" s="1527"/>
      <c r="B266" s="862" t="s">
        <v>1740</v>
      </c>
      <c r="C266" s="1438">
        <f>SUM(D266:E266)</f>
        <v>50000</v>
      </c>
      <c r="D266" s="1457">
        <v>50000</v>
      </c>
      <c r="E266" s="1438"/>
      <c r="F266" s="1525">
        <f t="shared" si="18"/>
        <v>50000</v>
      </c>
    </row>
    <row r="267" spans="1:6" ht="56.25" x14ac:dyDescent="0.3">
      <c r="A267" s="1527"/>
      <c r="B267" s="862" t="s">
        <v>1740</v>
      </c>
      <c r="C267" s="1438">
        <f>SUM(D267:E267)</f>
        <v>10000</v>
      </c>
      <c r="D267" s="1457">
        <v>10000</v>
      </c>
      <c r="E267" s="1438"/>
      <c r="F267" s="1525">
        <f t="shared" si="18"/>
        <v>10000</v>
      </c>
    </row>
    <row r="268" spans="1:6" ht="56.25" x14ac:dyDescent="0.3">
      <c r="A268" s="1527"/>
      <c r="B268" s="862" t="s">
        <v>1740</v>
      </c>
      <c r="C268" s="1438">
        <f>SUM(D268:E268)</f>
        <v>50000</v>
      </c>
      <c r="D268" s="1457">
        <v>50000</v>
      </c>
      <c r="E268" s="1438"/>
      <c r="F268" s="1525">
        <f t="shared" ref="F268:F331" si="24">C268</f>
        <v>50000</v>
      </c>
    </row>
    <row r="269" spans="1:6" s="13" customFormat="1" ht="18.75" hidden="1" x14ac:dyDescent="0.3">
      <c r="A269" s="973"/>
      <c r="B269" s="891"/>
      <c r="C269" s="986"/>
      <c r="D269" s="987"/>
      <c r="E269" s="987"/>
      <c r="F269" s="893">
        <f t="shared" si="24"/>
        <v>0</v>
      </c>
    </row>
    <row r="270" spans="1:6" s="13" customFormat="1" ht="18.75" hidden="1" x14ac:dyDescent="0.3">
      <c r="A270" s="973"/>
      <c r="B270" s="85"/>
      <c r="C270" s="986"/>
      <c r="D270" s="992"/>
      <c r="E270" s="992"/>
      <c r="F270" s="893">
        <f t="shared" si="24"/>
        <v>0</v>
      </c>
    </row>
    <row r="271" spans="1:6" s="13" customFormat="1" ht="18.75" hidden="1" x14ac:dyDescent="0.3">
      <c r="A271" s="973"/>
      <c r="B271" s="891"/>
      <c r="C271" s="986"/>
      <c r="D271" s="986"/>
      <c r="E271" s="990"/>
      <c r="F271" s="893">
        <f t="shared" si="24"/>
        <v>0</v>
      </c>
    </row>
    <row r="272" spans="1:6" s="13" customFormat="1" ht="18.75" hidden="1" x14ac:dyDescent="0.3">
      <c r="A272" s="973"/>
      <c r="B272" s="891"/>
      <c r="C272" s="986"/>
      <c r="D272" s="986"/>
      <c r="E272" s="990"/>
      <c r="F272" s="893">
        <f t="shared" si="24"/>
        <v>0</v>
      </c>
    </row>
    <row r="273" spans="1:6" s="13" customFormat="1" ht="18.75" hidden="1" x14ac:dyDescent="0.3">
      <c r="A273" s="973"/>
      <c r="B273" s="891"/>
      <c r="C273" s="986"/>
      <c r="D273" s="986"/>
      <c r="E273" s="990"/>
      <c r="F273" s="893">
        <f t="shared" si="24"/>
        <v>0</v>
      </c>
    </row>
    <row r="274" spans="1:6" ht="18.75" x14ac:dyDescent="0.3">
      <c r="A274" s="1526"/>
      <c r="B274" s="862" t="s">
        <v>740</v>
      </c>
      <c r="C274" s="1438">
        <f>SUM(C264:C273)</f>
        <v>300000</v>
      </c>
      <c r="D274" s="1438">
        <f>SUM(D264:D273)</f>
        <v>300000</v>
      </c>
      <c r="E274" s="1438">
        <f>SUM(E264:E273)</f>
        <v>0</v>
      </c>
      <c r="F274" s="1525">
        <f t="shared" si="24"/>
        <v>300000</v>
      </c>
    </row>
    <row r="275" spans="1:6" s="13" customFormat="1" ht="93.75" hidden="1" x14ac:dyDescent="0.3">
      <c r="A275" s="972" t="s">
        <v>1092</v>
      </c>
      <c r="B275" s="891"/>
      <c r="C275" s="986">
        <f>SUM(D275:E275)</f>
        <v>0</v>
      </c>
      <c r="D275" s="986"/>
      <c r="E275" s="990"/>
      <c r="F275" s="893">
        <f t="shared" si="24"/>
        <v>0</v>
      </c>
    </row>
    <row r="276" spans="1:6" s="13" customFormat="1" ht="18.75" hidden="1" x14ac:dyDescent="0.3">
      <c r="A276" s="973"/>
      <c r="B276" s="891"/>
      <c r="C276" s="986">
        <f t="shared" ref="C276:C284" si="25">SUM(D276:E276)</f>
        <v>0</v>
      </c>
      <c r="D276" s="986"/>
      <c r="E276" s="990"/>
      <c r="F276" s="893">
        <f t="shared" si="24"/>
        <v>0</v>
      </c>
    </row>
    <row r="277" spans="1:6" s="13" customFormat="1" ht="18.75" hidden="1" x14ac:dyDescent="0.3">
      <c r="A277" s="973"/>
      <c r="B277" s="891"/>
      <c r="C277" s="986">
        <f t="shared" si="25"/>
        <v>0</v>
      </c>
      <c r="D277" s="986"/>
      <c r="E277" s="990"/>
      <c r="F277" s="893">
        <f t="shared" si="24"/>
        <v>0</v>
      </c>
    </row>
    <row r="278" spans="1:6" s="13" customFormat="1" ht="18.75" hidden="1" x14ac:dyDescent="0.3">
      <c r="A278" s="973"/>
      <c r="B278" s="891"/>
      <c r="C278" s="986">
        <f t="shared" si="25"/>
        <v>0</v>
      </c>
      <c r="D278" s="986"/>
      <c r="E278" s="990"/>
      <c r="F278" s="893">
        <f t="shared" si="24"/>
        <v>0</v>
      </c>
    </row>
    <row r="279" spans="1:6" s="13" customFormat="1" ht="18.75" hidden="1" x14ac:dyDescent="0.3">
      <c r="A279" s="973"/>
      <c r="B279" s="891"/>
      <c r="C279" s="986">
        <f t="shared" si="25"/>
        <v>0</v>
      </c>
      <c r="D279" s="986"/>
      <c r="E279" s="990"/>
      <c r="F279" s="893">
        <f t="shared" si="24"/>
        <v>0</v>
      </c>
    </row>
    <row r="280" spans="1:6" s="13" customFormat="1" ht="18.75" hidden="1" x14ac:dyDescent="0.3">
      <c r="A280" s="973"/>
      <c r="B280" s="891"/>
      <c r="C280" s="986">
        <f t="shared" si="25"/>
        <v>0</v>
      </c>
      <c r="D280" s="986"/>
      <c r="E280" s="990"/>
      <c r="F280" s="893">
        <f t="shared" si="24"/>
        <v>0</v>
      </c>
    </row>
    <row r="281" spans="1:6" s="13" customFormat="1" ht="18.75" hidden="1" x14ac:dyDescent="0.3">
      <c r="A281" s="973"/>
      <c r="B281" s="891"/>
      <c r="C281" s="986">
        <f t="shared" si="25"/>
        <v>0</v>
      </c>
      <c r="D281" s="986"/>
      <c r="E281" s="990"/>
      <c r="F281" s="893">
        <f t="shared" si="24"/>
        <v>0</v>
      </c>
    </row>
    <row r="282" spans="1:6" s="13" customFormat="1" ht="18.75" hidden="1" x14ac:dyDescent="0.3">
      <c r="A282" s="973"/>
      <c r="B282" s="891"/>
      <c r="C282" s="986">
        <f t="shared" si="25"/>
        <v>0</v>
      </c>
      <c r="D282" s="986"/>
      <c r="E282" s="990"/>
      <c r="F282" s="893">
        <f t="shared" si="24"/>
        <v>0</v>
      </c>
    </row>
    <row r="283" spans="1:6" s="13" customFormat="1" ht="18.75" hidden="1" x14ac:dyDescent="0.3">
      <c r="A283" s="973"/>
      <c r="B283" s="891"/>
      <c r="C283" s="986">
        <f t="shared" si="25"/>
        <v>0</v>
      </c>
      <c r="D283" s="986"/>
      <c r="E283" s="990"/>
      <c r="F283" s="893">
        <f t="shared" si="24"/>
        <v>0</v>
      </c>
    </row>
    <row r="284" spans="1:6" s="13" customFormat="1" ht="18.75" hidden="1" x14ac:dyDescent="0.3">
      <c r="A284" s="973"/>
      <c r="B284" s="891"/>
      <c r="C284" s="986">
        <f t="shared" si="25"/>
        <v>0</v>
      </c>
      <c r="D284" s="986"/>
      <c r="E284" s="990"/>
      <c r="F284" s="893">
        <f t="shared" si="24"/>
        <v>0</v>
      </c>
    </row>
    <row r="285" spans="1:6" s="13" customFormat="1" ht="18.75" hidden="1" x14ac:dyDescent="0.3">
      <c r="A285" s="974"/>
      <c r="B285" s="891" t="s">
        <v>740</v>
      </c>
      <c r="C285" s="986">
        <f>SUM(C275:C284)</f>
        <v>0</v>
      </c>
      <c r="D285" s="986">
        <f>SUM(D275:D284)</f>
        <v>0</v>
      </c>
      <c r="E285" s="986">
        <f>SUM(E275:E284)</f>
        <v>0</v>
      </c>
      <c r="F285" s="893">
        <f t="shared" si="24"/>
        <v>0</v>
      </c>
    </row>
    <row r="286" spans="1:6" s="13" customFormat="1" ht="75" hidden="1" x14ac:dyDescent="0.3">
      <c r="A286" s="972" t="s">
        <v>1093</v>
      </c>
      <c r="B286" s="85"/>
      <c r="C286" s="988"/>
      <c r="D286" s="988"/>
      <c r="E286" s="989"/>
      <c r="F286" s="893">
        <f t="shared" si="24"/>
        <v>0</v>
      </c>
    </row>
    <row r="287" spans="1:6" s="13" customFormat="1" ht="18.75" hidden="1" x14ac:dyDescent="0.3">
      <c r="A287" s="973"/>
      <c r="B287" s="891"/>
      <c r="C287" s="986">
        <f t="shared" ref="C287:C295" si="26">SUM(D287:E287)</f>
        <v>0</v>
      </c>
      <c r="D287" s="986"/>
      <c r="E287" s="990"/>
      <c r="F287" s="893">
        <f t="shared" si="24"/>
        <v>0</v>
      </c>
    </row>
    <row r="288" spans="1:6" s="13" customFormat="1" ht="18.75" hidden="1" x14ac:dyDescent="0.3">
      <c r="A288" s="973"/>
      <c r="B288" s="891"/>
      <c r="C288" s="986">
        <f t="shared" si="26"/>
        <v>0</v>
      </c>
      <c r="D288" s="986"/>
      <c r="E288" s="990"/>
      <c r="F288" s="893">
        <f t="shared" si="24"/>
        <v>0</v>
      </c>
    </row>
    <row r="289" spans="1:6" s="13" customFormat="1" ht="18.75" hidden="1" x14ac:dyDescent="0.3">
      <c r="A289" s="973"/>
      <c r="B289" s="891"/>
      <c r="C289" s="986">
        <f t="shared" si="26"/>
        <v>0</v>
      </c>
      <c r="D289" s="986"/>
      <c r="E289" s="990"/>
      <c r="F289" s="893">
        <f t="shared" si="24"/>
        <v>0</v>
      </c>
    </row>
    <row r="290" spans="1:6" s="13" customFormat="1" ht="18.75" hidden="1" x14ac:dyDescent="0.3">
      <c r="A290" s="973"/>
      <c r="B290" s="891"/>
      <c r="C290" s="986">
        <f t="shared" si="26"/>
        <v>0</v>
      </c>
      <c r="D290" s="986"/>
      <c r="E290" s="990"/>
      <c r="F290" s="893">
        <f t="shared" si="24"/>
        <v>0</v>
      </c>
    </row>
    <row r="291" spans="1:6" s="13" customFormat="1" ht="18.75" hidden="1" x14ac:dyDescent="0.3">
      <c r="A291" s="973"/>
      <c r="B291" s="891"/>
      <c r="C291" s="986">
        <f t="shared" si="26"/>
        <v>0</v>
      </c>
      <c r="D291" s="986"/>
      <c r="E291" s="990"/>
      <c r="F291" s="893">
        <f t="shared" si="24"/>
        <v>0</v>
      </c>
    </row>
    <row r="292" spans="1:6" s="13" customFormat="1" ht="18.75" hidden="1" x14ac:dyDescent="0.3">
      <c r="A292" s="973"/>
      <c r="B292" s="891"/>
      <c r="C292" s="986">
        <f t="shared" si="26"/>
        <v>0</v>
      </c>
      <c r="D292" s="986"/>
      <c r="E292" s="990"/>
      <c r="F292" s="893">
        <f t="shared" si="24"/>
        <v>0</v>
      </c>
    </row>
    <row r="293" spans="1:6" s="13" customFormat="1" ht="18.75" hidden="1" x14ac:dyDescent="0.3">
      <c r="A293" s="973"/>
      <c r="B293" s="891"/>
      <c r="C293" s="986">
        <f t="shared" si="26"/>
        <v>0</v>
      </c>
      <c r="D293" s="986"/>
      <c r="E293" s="990"/>
      <c r="F293" s="893">
        <f t="shared" si="24"/>
        <v>0</v>
      </c>
    </row>
    <row r="294" spans="1:6" s="13" customFormat="1" ht="18.75" hidden="1" x14ac:dyDescent="0.3">
      <c r="A294" s="973"/>
      <c r="B294" s="891"/>
      <c r="C294" s="986">
        <f t="shared" si="26"/>
        <v>0</v>
      </c>
      <c r="D294" s="986"/>
      <c r="E294" s="990"/>
      <c r="F294" s="893">
        <f t="shared" si="24"/>
        <v>0</v>
      </c>
    </row>
    <row r="295" spans="1:6" s="13" customFormat="1" ht="18.75" hidden="1" x14ac:dyDescent="0.3">
      <c r="A295" s="973"/>
      <c r="B295" s="891"/>
      <c r="C295" s="986">
        <f t="shared" si="26"/>
        <v>0</v>
      </c>
      <c r="D295" s="986"/>
      <c r="E295" s="990"/>
      <c r="F295" s="893">
        <f t="shared" si="24"/>
        <v>0</v>
      </c>
    </row>
    <row r="296" spans="1:6" s="13" customFormat="1" ht="18.75" hidden="1" x14ac:dyDescent="0.3">
      <c r="A296" s="974"/>
      <c r="B296" s="891" t="s">
        <v>740</v>
      </c>
      <c r="C296" s="986">
        <f>SUM(C286:C295)</f>
        <v>0</v>
      </c>
      <c r="D296" s="986">
        <f>SUM(D286:D295)</f>
        <v>0</v>
      </c>
      <c r="E296" s="986">
        <f>SUM(E286:E295)</f>
        <v>0</v>
      </c>
      <c r="F296" s="893">
        <f t="shared" si="24"/>
        <v>0</v>
      </c>
    </row>
    <row r="297" spans="1:6" s="13" customFormat="1" ht="93.75" hidden="1" x14ac:dyDescent="0.3">
      <c r="A297" s="972" t="s">
        <v>1094</v>
      </c>
      <c r="B297" s="85"/>
      <c r="C297" s="986"/>
      <c r="D297" s="992"/>
      <c r="E297" s="990"/>
      <c r="F297" s="893">
        <f t="shared" si="24"/>
        <v>0</v>
      </c>
    </row>
    <row r="298" spans="1:6" s="13" customFormat="1" ht="18.75" hidden="1" x14ac:dyDescent="0.3">
      <c r="A298" s="973"/>
      <c r="B298" s="85"/>
      <c r="C298" s="986"/>
      <c r="D298" s="992"/>
      <c r="E298" s="990"/>
      <c r="F298" s="893">
        <f t="shared" si="24"/>
        <v>0</v>
      </c>
    </row>
    <row r="299" spans="1:6" s="13" customFormat="1" ht="18.75" hidden="1" x14ac:dyDescent="0.3">
      <c r="A299" s="973"/>
      <c r="B299" s="891"/>
      <c r="C299" s="987"/>
      <c r="D299" s="987"/>
      <c r="E299" s="987"/>
      <c r="F299" s="893">
        <f t="shared" si="24"/>
        <v>0</v>
      </c>
    </row>
    <row r="300" spans="1:6" s="13" customFormat="1" ht="18.75" hidden="1" x14ac:dyDescent="0.3">
      <c r="A300" s="973"/>
      <c r="B300" s="85"/>
      <c r="C300" s="992"/>
      <c r="D300" s="992"/>
      <c r="E300" s="992"/>
      <c r="F300" s="893">
        <f t="shared" si="24"/>
        <v>0</v>
      </c>
    </row>
    <row r="301" spans="1:6" s="13" customFormat="1" ht="18.75" hidden="1" x14ac:dyDescent="0.3">
      <c r="A301" s="973"/>
      <c r="B301" s="891"/>
      <c r="C301" s="986">
        <f t="shared" ref="C301:C306" si="27">SUM(D301:E301)</f>
        <v>0</v>
      </c>
      <c r="D301" s="986"/>
      <c r="E301" s="990"/>
      <c r="F301" s="893">
        <f t="shared" si="24"/>
        <v>0</v>
      </c>
    </row>
    <row r="302" spans="1:6" s="13" customFormat="1" ht="18.75" hidden="1" x14ac:dyDescent="0.3">
      <c r="A302" s="973"/>
      <c r="B302" s="891"/>
      <c r="C302" s="986">
        <f t="shared" si="27"/>
        <v>0</v>
      </c>
      <c r="D302" s="986"/>
      <c r="E302" s="990"/>
      <c r="F302" s="893">
        <f t="shared" si="24"/>
        <v>0</v>
      </c>
    </row>
    <row r="303" spans="1:6" s="13" customFormat="1" ht="18.75" hidden="1" x14ac:dyDescent="0.3">
      <c r="A303" s="973"/>
      <c r="B303" s="891"/>
      <c r="C303" s="986">
        <f t="shared" si="27"/>
        <v>0</v>
      </c>
      <c r="D303" s="986"/>
      <c r="E303" s="990"/>
      <c r="F303" s="893">
        <f t="shared" si="24"/>
        <v>0</v>
      </c>
    </row>
    <row r="304" spans="1:6" s="13" customFormat="1" ht="18.75" hidden="1" x14ac:dyDescent="0.3">
      <c r="A304" s="973"/>
      <c r="B304" s="891"/>
      <c r="C304" s="986">
        <f t="shared" si="27"/>
        <v>0</v>
      </c>
      <c r="D304" s="986"/>
      <c r="E304" s="990"/>
      <c r="F304" s="893">
        <f t="shared" si="24"/>
        <v>0</v>
      </c>
    </row>
    <row r="305" spans="1:6" s="13" customFormat="1" ht="18.75" hidden="1" x14ac:dyDescent="0.3">
      <c r="A305" s="973"/>
      <c r="B305" s="891"/>
      <c r="C305" s="986">
        <f t="shared" si="27"/>
        <v>0</v>
      </c>
      <c r="D305" s="986"/>
      <c r="E305" s="990"/>
      <c r="F305" s="893">
        <f t="shared" si="24"/>
        <v>0</v>
      </c>
    </row>
    <row r="306" spans="1:6" s="13" customFormat="1" ht="18.75" hidden="1" x14ac:dyDescent="0.3">
      <c r="A306" s="973"/>
      <c r="B306" s="891"/>
      <c r="C306" s="986">
        <f t="shared" si="27"/>
        <v>0</v>
      </c>
      <c r="D306" s="986"/>
      <c r="E306" s="990"/>
      <c r="F306" s="893">
        <f t="shared" si="24"/>
        <v>0</v>
      </c>
    </row>
    <row r="307" spans="1:6" s="13" customFormat="1" ht="18.75" hidden="1" x14ac:dyDescent="0.3">
      <c r="A307" s="974"/>
      <c r="B307" s="891" t="s">
        <v>740</v>
      </c>
      <c r="C307" s="986">
        <f>SUM(C297:C306)</f>
        <v>0</v>
      </c>
      <c r="D307" s="986">
        <f>SUM(D297:D306)</f>
        <v>0</v>
      </c>
      <c r="E307" s="986">
        <f>SUM(E297:E306)</f>
        <v>0</v>
      </c>
      <c r="F307" s="893">
        <f t="shared" si="24"/>
        <v>0</v>
      </c>
    </row>
    <row r="308" spans="1:6" s="13" customFormat="1" ht="75" hidden="1" x14ac:dyDescent="0.3">
      <c r="A308" s="972" t="s">
        <v>1095</v>
      </c>
      <c r="B308" s="85"/>
      <c r="C308" s="986"/>
      <c r="D308" s="992"/>
      <c r="E308" s="990"/>
      <c r="F308" s="893">
        <f t="shared" si="24"/>
        <v>0</v>
      </c>
    </row>
    <row r="309" spans="1:6" s="13" customFormat="1" ht="18.75" hidden="1" x14ac:dyDescent="0.3">
      <c r="A309" s="973"/>
      <c r="B309" s="85"/>
      <c r="C309" s="986"/>
      <c r="D309" s="992"/>
      <c r="E309" s="990"/>
      <c r="F309" s="893">
        <f t="shared" si="24"/>
        <v>0</v>
      </c>
    </row>
    <row r="310" spans="1:6" s="13" customFormat="1" ht="18.75" hidden="1" x14ac:dyDescent="0.3">
      <c r="A310" s="973"/>
      <c r="B310" s="85"/>
      <c r="C310" s="986"/>
      <c r="D310" s="992"/>
      <c r="E310" s="990"/>
      <c r="F310" s="893">
        <f t="shared" si="24"/>
        <v>0</v>
      </c>
    </row>
    <row r="311" spans="1:6" s="13" customFormat="1" ht="18.75" hidden="1" x14ac:dyDescent="0.3">
      <c r="A311" s="973"/>
      <c r="B311" s="85"/>
      <c r="C311" s="986"/>
      <c r="D311" s="992"/>
      <c r="E311" s="990"/>
      <c r="F311" s="893">
        <f t="shared" si="24"/>
        <v>0</v>
      </c>
    </row>
    <row r="312" spans="1:6" s="13" customFormat="1" ht="18.75" hidden="1" x14ac:dyDescent="0.3">
      <c r="A312" s="973"/>
      <c r="B312" s="891"/>
      <c r="C312" s="987"/>
      <c r="D312" s="987"/>
      <c r="E312" s="987"/>
      <c r="F312" s="893">
        <f t="shared" si="24"/>
        <v>0</v>
      </c>
    </row>
    <row r="313" spans="1:6" s="13" customFormat="1" ht="18.75" hidden="1" x14ac:dyDescent="0.3">
      <c r="A313" s="973"/>
      <c r="B313" s="891"/>
      <c r="C313" s="986">
        <f>SUM(D313:E313)</f>
        <v>0</v>
      </c>
      <c r="D313" s="986"/>
      <c r="E313" s="990"/>
      <c r="F313" s="893">
        <f t="shared" si="24"/>
        <v>0</v>
      </c>
    </row>
    <row r="314" spans="1:6" s="13" customFormat="1" ht="18.75" hidden="1" x14ac:dyDescent="0.3">
      <c r="A314" s="973"/>
      <c r="B314" s="891"/>
      <c r="C314" s="986">
        <f>SUM(D314:E314)</f>
        <v>0</v>
      </c>
      <c r="D314" s="986"/>
      <c r="E314" s="990"/>
      <c r="F314" s="893">
        <f t="shared" si="24"/>
        <v>0</v>
      </c>
    </row>
    <row r="315" spans="1:6" s="13" customFormat="1" ht="18.75" hidden="1" x14ac:dyDescent="0.3">
      <c r="A315" s="973"/>
      <c r="B315" s="891"/>
      <c r="C315" s="986">
        <f>SUM(D315:E315)</f>
        <v>0</v>
      </c>
      <c r="D315" s="986"/>
      <c r="E315" s="990"/>
      <c r="F315" s="893">
        <f t="shared" si="24"/>
        <v>0</v>
      </c>
    </row>
    <row r="316" spans="1:6" s="13" customFormat="1" ht="18.75" hidden="1" x14ac:dyDescent="0.3">
      <c r="A316" s="973"/>
      <c r="B316" s="891"/>
      <c r="C316" s="986">
        <f>SUM(D316:E316)</f>
        <v>0</v>
      </c>
      <c r="D316" s="986"/>
      <c r="E316" s="990"/>
      <c r="F316" s="893">
        <f t="shared" si="24"/>
        <v>0</v>
      </c>
    </row>
    <row r="317" spans="1:6" s="13" customFormat="1" ht="18.75" hidden="1" x14ac:dyDescent="0.3">
      <c r="A317" s="973"/>
      <c r="B317" s="891"/>
      <c r="C317" s="986">
        <f>SUM(D317:E317)</f>
        <v>0</v>
      </c>
      <c r="D317" s="986"/>
      <c r="E317" s="990"/>
      <c r="F317" s="893">
        <f t="shared" si="24"/>
        <v>0</v>
      </c>
    </row>
    <row r="318" spans="1:6" s="13" customFormat="1" ht="18.75" hidden="1" x14ac:dyDescent="0.3">
      <c r="A318" s="974"/>
      <c r="B318" s="891" t="s">
        <v>740</v>
      </c>
      <c r="C318" s="986">
        <f>SUM(C308:C317)</f>
        <v>0</v>
      </c>
      <c r="D318" s="986">
        <f>SUM(D308:D317)</f>
        <v>0</v>
      </c>
      <c r="E318" s="986">
        <f>SUM(E308:E317)</f>
        <v>0</v>
      </c>
      <c r="F318" s="893">
        <f t="shared" si="24"/>
        <v>0</v>
      </c>
    </row>
    <row r="319" spans="1:6" s="13" customFormat="1" ht="93.75" hidden="1" x14ac:dyDescent="0.3">
      <c r="A319" s="972" t="s">
        <v>1096</v>
      </c>
      <c r="B319" s="85"/>
      <c r="C319" s="986"/>
      <c r="D319" s="986"/>
      <c r="E319" s="990"/>
      <c r="F319" s="893">
        <f t="shared" si="24"/>
        <v>0</v>
      </c>
    </row>
    <row r="320" spans="1:6" s="13" customFormat="1" ht="18.75" hidden="1" x14ac:dyDescent="0.3">
      <c r="A320" s="973"/>
      <c r="B320" s="85"/>
      <c r="C320" s="986"/>
      <c r="D320" s="986"/>
      <c r="E320" s="990"/>
      <c r="F320" s="893">
        <f t="shared" si="24"/>
        <v>0</v>
      </c>
    </row>
    <row r="321" spans="1:6" s="13" customFormat="1" ht="18.75" hidden="1" x14ac:dyDescent="0.3">
      <c r="A321" s="973"/>
      <c r="B321" s="891"/>
      <c r="C321" s="987"/>
      <c r="D321" s="987"/>
      <c r="E321" s="987"/>
      <c r="F321" s="893">
        <f t="shared" si="24"/>
        <v>0</v>
      </c>
    </row>
    <row r="322" spans="1:6" s="13" customFormat="1" ht="18.75" hidden="1" x14ac:dyDescent="0.3">
      <c r="A322" s="973"/>
      <c r="B322" s="891"/>
      <c r="C322" s="986">
        <f t="shared" ref="C322:C328" si="28">SUM(D322:E322)</f>
        <v>0</v>
      </c>
      <c r="D322" s="986"/>
      <c r="E322" s="990"/>
      <c r="F322" s="893">
        <f t="shared" si="24"/>
        <v>0</v>
      </c>
    </row>
    <row r="323" spans="1:6" s="13" customFormat="1" ht="18.75" hidden="1" x14ac:dyDescent="0.3">
      <c r="A323" s="973"/>
      <c r="B323" s="891"/>
      <c r="C323" s="986">
        <f t="shared" si="28"/>
        <v>0</v>
      </c>
      <c r="D323" s="986"/>
      <c r="E323" s="990"/>
      <c r="F323" s="893">
        <f t="shared" si="24"/>
        <v>0</v>
      </c>
    </row>
    <row r="324" spans="1:6" s="13" customFormat="1" ht="18.75" hidden="1" x14ac:dyDescent="0.3">
      <c r="A324" s="973"/>
      <c r="B324" s="891"/>
      <c r="C324" s="986">
        <f t="shared" si="28"/>
        <v>0</v>
      </c>
      <c r="D324" s="986"/>
      <c r="E324" s="990"/>
      <c r="F324" s="893">
        <f t="shared" si="24"/>
        <v>0</v>
      </c>
    </row>
    <row r="325" spans="1:6" s="13" customFormat="1" ht="18.75" hidden="1" x14ac:dyDescent="0.3">
      <c r="A325" s="973"/>
      <c r="B325" s="891"/>
      <c r="C325" s="986">
        <f t="shared" si="28"/>
        <v>0</v>
      </c>
      <c r="D325" s="986"/>
      <c r="E325" s="990"/>
      <c r="F325" s="893">
        <f t="shared" si="24"/>
        <v>0</v>
      </c>
    </row>
    <row r="326" spans="1:6" s="13" customFormat="1" ht="18.75" hidden="1" x14ac:dyDescent="0.3">
      <c r="A326" s="973"/>
      <c r="B326" s="891"/>
      <c r="C326" s="986">
        <f t="shared" si="28"/>
        <v>0</v>
      </c>
      <c r="D326" s="986"/>
      <c r="E326" s="990"/>
      <c r="F326" s="893">
        <f t="shared" si="24"/>
        <v>0</v>
      </c>
    </row>
    <row r="327" spans="1:6" s="13" customFormat="1" ht="18.75" hidden="1" x14ac:dyDescent="0.3">
      <c r="A327" s="973"/>
      <c r="B327" s="891"/>
      <c r="C327" s="986">
        <f t="shared" si="28"/>
        <v>0</v>
      </c>
      <c r="D327" s="986"/>
      <c r="E327" s="990"/>
      <c r="F327" s="893">
        <f t="shared" si="24"/>
        <v>0</v>
      </c>
    </row>
    <row r="328" spans="1:6" s="13" customFormat="1" ht="18.75" hidden="1" x14ac:dyDescent="0.3">
      <c r="A328" s="973"/>
      <c r="B328" s="891"/>
      <c r="C328" s="986">
        <f t="shared" si="28"/>
        <v>0</v>
      </c>
      <c r="D328" s="986"/>
      <c r="E328" s="990"/>
      <c r="F328" s="893">
        <f t="shared" si="24"/>
        <v>0</v>
      </c>
    </row>
    <row r="329" spans="1:6" s="13" customFormat="1" ht="18.75" hidden="1" x14ac:dyDescent="0.3">
      <c r="A329" s="974"/>
      <c r="B329" s="891" t="s">
        <v>740</v>
      </c>
      <c r="C329" s="986">
        <f>SUM(C319:C328)</f>
        <v>0</v>
      </c>
      <c r="D329" s="986">
        <f>SUM(D319:D328)</f>
        <v>0</v>
      </c>
      <c r="E329" s="986">
        <f>SUM(E319:E328)</f>
        <v>0</v>
      </c>
      <c r="F329" s="893">
        <f t="shared" si="24"/>
        <v>0</v>
      </c>
    </row>
    <row r="330" spans="1:6" s="13" customFormat="1" ht="75" hidden="1" x14ac:dyDescent="0.3">
      <c r="A330" s="972" t="s">
        <v>1097</v>
      </c>
      <c r="B330" s="85"/>
      <c r="C330" s="986"/>
      <c r="D330" s="992"/>
      <c r="E330" s="990"/>
      <c r="F330" s="893">
        <f t="shared" si="24"/>
        <v>0</v>
      </c>
    </row>
    <row r="331" spans="1:6" s="13" customFormat="1" ht="18.75" hidden="1" x14ac:dyDescent="0.3">
      <c r="A331" s="973"/>
      <c r="B331" s="891"/>
      <c r="C331" s="987"/>
      <c r="D331" s="987"/>
      <c r="E331" s="987"/>
      <c r="F331" s="893">
        <f t="shared" si="24"/>
        <v>0</v>
      </c>
    </row>
    <row r="332" spans="1:6" s="13" customFormat="1" ht="18.75" hidden="1" x14ac:dyDescent="0.3">
      <c r="A332" s="973"/>
      <c r="B332" s="85"/>
      <c r="C332" s="992"/>
      <c r="D332" s="992"/>
      <c r="E332" s="992"/>
      <c r="F332" s="893">
        <f t="shared" ref="F332:F395" si="29">C332</f>
        <v>0</v>
      </c>
    </row>
    <row r="333" spans="1:6" s="13" customFormat="1" ht="18.75" hidden="1" x14ac:dyDescent="0.3">
      <c r="A333" s="973"/>
      <c r="B333" s="891"/>
      <c r="C333" s="986">
        <f t="shared" ref="C333:C339" si="30">SUM(D333:E333)</f>
        <v>0</v>
      </c>
      <c r="D333" s="986"/>
      <c r="E333" s="990"/>
      <c r="F333" s="893">
        <f t="shared" si="29"/>
        <v>0</v>
      </c>
    </row>
    <row r="334" spans="1:6" s="13" customFormat="1" ht="18.75" hidden="1" x14ac:dyDescent="0.3">
      <c r="A334" s="973"/>
      <c r="B334" s="891"/>
      <c r="C334" s="986">
        <f t="shared" si="30"/>
        <v>0</v>
      </c>
      <c r="D334" s="986"/>
      <c r="E334" s="990"/>
      <c r="F334" s="893">
        <f t="shared" si="29"/>
        <v>0</v>
      </c>
    </row>
    <row r="335" spans="1:6" s="13" customFormat="1" ht="18.75" hidden="1" x14ac:dyDescent="0.3">
      <c r="A335" s="973"/>
      <c r="B335" s="891"/>
      <c r="C335" s="986">
        <f t="shared" si="30"/>
        <v>0</v>
      </c>
      <c r="D335" s="986"/>
      <c r="E335" s="990"/>
      <c r="F335" s="893">
        <f t="shared" si="29"/>
        <v>0</v>
      </c>
    </row>
    <row r="336" spans="1:6" s="13" customFormat="1" ht="18.75" hidden="1" x14ac:dyDescent="0.3">
      <c r="A336" s="973"/>
      <c r="B336" s="891"/>
      <c r="C336" s="986">
        <f t="shared" si="30"/>
        <v>0</v>
      </c>
      <c r="D336" s="986"/>
      <c r="E336" s="990"/>
      <c r="F336" s="893">
        <f t="shared" si="29"/>
        <v>0</v>
      </c>
    </row>
    <row r="337" spans="1:6" s="13" customFormat="1" ht="18.75" hidden="1" x14ac:dyDescent="0.3">
      <c r="A337" s="973"/>
      <c r="B337" s="891"/>
      <c r="C337" s="986">
        <f t="shared" si="30"/>
        <v>0</v>
      </c>
      <c r="D337" s="986"/>
      <c r="E337" s="990"/>
      <c r="F337" s="893">
        <f t="shared" si="29"/>
        <v>0</v>
      </c>
    </row>
    <row r="338" spans="1:6" s="13" customFormat="1" ht="18.75" hidden="1" x14ac:dyDescent="0.3">
      <c r="A338" s="973"/>
      <c r="B338" s="891"/>
      <c r="C338" s="986">
        <f t="shared" si="30"/>
        <v>0</v>
      </c>
      <c r="D338" s="986"/>
      <c r="E338" s="990"/>
      <c r="F338" s="893">
        <f t="shared" si="29"/>
        <v>0</v>
      </c>
    </row>
    <row r="339" spans="1:6" s="13" customFormat="1" ht="18.75" hidden="1" x14ac:dyDescent="0.3">
      <c r="A339" s="973"/>
      <c r="B339" s="891"/>
      <c r="C339" s="986">
        <f t="shared" si="30"/>
        <v>0</v>
      </c>
      <c r="D339" s="986"/>
      <c r="E339" s="990"/>
      <c r="F339" s="893">
        <f t="shared" si="29"/>
        <v>0</v>
      </c>
    </row>
    <row r="340" spans="1:6" s="13" customFormat="1" ht="18.75" hidden="1" x14ac:dyDescent="0.3">
      <c r="A340" s="974"/>
      <c r="B340" s="891" t="s">
        <v>740</v>
      </c>
      <c r="C340" s="986">
        <f>SUM(C330:C339)</f>
        <v>0</v>
      </c>
      <c r="D340" s="986">
        <f>SUM(D330:D339)</f>
        <v>0</v>
      </c>
      <c r="E340" s="986">
        <f>SUM(E330:E339)</f>
        <v>0</v>
      </c>
      <c r="F340" s="893">
        <f t="shared" si="29"/>
        <v>0</v>
      </c>
    </row>
    <row r="341" spans="1:6" s="13" customFormat="1" ht="75" hidden="1" x14ac:dyDescent="0.3">
      <c r="A341" s="972" t="s">
        <v>1098</v>
      </c>
      <c r="B341" s="891"/>
      <c r="C341" s="986">
        <f>SUM(D341:E341)</f>
        <v>0</v>
      </c>
      <c r="D341" s="986"/>
      <c r="E341" s="990"/>
      <c r="F341" s="893">
        <f t="shared" si="29"/>
        <v>0</v>
      </c>
    </row>
    <row r="342" spans="1:6" s="13" customFormat="1" ht="18.75" hidden="1" x14ac:dyDescent="0.3">
      <c r="A342" s="973"/>
      <c r="B342" s="891"/>
      <c r="C342" s="986">
        <f t="shared" ref="C342:C350" si="31">SUM(D342:E342)</f>
        <v>0</v>
      </c>
      <c r="D342" s="986"/>
      <c r="E342" s="990"/>
      <c r="F342" s="893">
        <f t="shared" si="29"/>
        <v>0</v>
      </c>
    </row>
    <row r="343" spans="1:6" s="13" customFormat="1" ht="18.75" hidden="1" x14ac:dyDescent="0.3">
      <c r="A343" s="973"/>
      <c r="B343" s="891"/>
      <c r="C343" s="986">
        <f t="shared" si="31"/>
        <v>0</v>
      </c>
      <c r="D343" s="986"/>
      <c r="E343" s="990"/>
      <c r="F343" s="893">
        <f t="shared" si="29"/>
        <v>0</v>
      </c>
    </row>
    <row r="344" spans="1:6" s="13" customFormat="1" ht="18.75" hidden="1" x14ac:dyDescent="0.3">
      <c r="A344" s="973"/>
      <c r="B344" s="891"/>
      <c r="C344" s="986">
        <f t="shared" si="31"/>
        <v>0</v>
      </c>
      <c r="D344" s="986"/>
      <c r="E344" s="990"/>
      <c r="F344" s="893">
        <f t="shared" si="29"/>
        <v>0</v>
      </c>
    </row>
    <row r="345" spans="1:6" s="13" customFormat="1" ht="18.75" hidden="1" x14ac:dyDescent="0.3">
      <c r="A345" s="973"/>
      <c r="B345" s="891"/>
      <c r="C345" s="986">
        <f t="shared" si="31"/>
        <v>0</v>
      </c>
      <c r="D345" s="986"/>
      <c r="E345" s="990"/>
      <c r="F345" s="893">
        <f t="shared" si="29"/>
        <v>0</v>
      </c>
    </row>
    <row r="346" spans="1:6" s="13" customFormat="1" ht="18.75" hidden="1" x14ac:dyDescent="0.3">
      <c r="A346" s="973"/>
      <c r="B346" s="891"/>
      <c r="C346" s="986">
        <f t="shared" si="31"/>
        <v>0</v>
      </c>
      <c r="D346" s="986"/>
      <c r="E346" s="990"/>
      <c r="F346" s="893">
        <f t="shared" si="29"/>
        <v>0</v>
      </c>
    </row>
    <row r="347" spans="1:6" s="13" customFormat="1" ht="18.75" hidden="1" x14ac:dyDescent="0.3">
      <c r="A347" s="973"/>
      <c r="B347" s="891"/>
      <c r="C347" s="986">
        <f t="shared" si="31"/>
        <v>0</v>
      </c>
      <c r="D347" s="986"/>
      <c r="E347" s="990"/>
      <c r="F347" s="893">
        <f t="shared" si="29"/>
        <v>0</v>
      </c>
    </row>
    <row r="348" spans="1:6" s="13" customFormat="1" ht="18.75" hidden="1" x14ac:dyDescent="0.3">
      <c r="A348" s="973"/>
      <c r="B348" s="891"/>
      <c r="C348" s="986">
        <f t="shared" si="31"/>
        <v>0</v>
      </c>
      <c r="D348" s="986"/>
      <c r="E348" s="990"/>
      <c r="F348" s="893">
        <f t="shared" si="29"/>
        <v>0</v>
      </c>
    </row>
    <row r="349" spans="1:6" s="13" customFormat="1" ht="18.75" hidden="1" x14ac:dyDescent="0.3">
      <c r="A349" s="973"/>
      <c r="B349" s="891"/>
      <c r="C349" s="986">
        <f t="shared" si="31"/>
        <v>0</v>
      </c>
      <c r="D349" s="986"/>
      <c r="E349" s="990"/>
      <c r="F349" s="893">
        <f t="shared" si="29"/>
        <v>0</v>
      </c>
    </row>
    <row r="350" spans="1:6" s="13" customFormat="1" ht="18.75" hidden="1" x14ac:dyDescent="0.3">
      <c r="A350" s="973"/>
      <c r="B350" s="891"/>
      <c r="C350" s="986">
        <f t="shared" si="31"/>
        <v>0</v>
      </c>
      <c r="D350" s="986"/>
      <c r="E350" s="990"/>
      <c r="F350" s="893">
        <f t="shared" si="29"/>
        <v>0</v>
      </c>
    </row>
    <row r="351" spans="1:6" s="13" customFormat="1" ht="18.75" hidden="1" x14ac:dyDescent="0.3">
      <c r="A351" s="974"/>
      <c r="B351" s="891" t="s">
        <v>740</v>
      </c>
      <c r="C351" s="986">
        <f>SUM(C341:C350)</f>
        <v>0</v>
      </c>
      <c r="D351" s="986">
        <f>SUM(D341:D350)</f>
        <v>0</v>
      </c>
      <c r="E351" s="986">
        <f>SUM(E341:E350)</f>
        <v>0</v>
      </c>
      <c r="F351" s="893">
        <f t="shared" si="29"/>
        <v>0</v>
      </c>
    </row>
    <row r="352" spans="1:6" s="13" customFormat="1" ht="93.75" hidden="1" x14ac:dyDescent="0.3">
      <c r="A352" s="972" t="s">
        <v>1099</v>
      </c>
      <c r="B352" s="85"/>
      <c r="C352" s="987"/>
      <c r="D352" s="987"/>
      <c r="E352" s="987"/>
      <c r="F352" s="893">
        <f t="shared" si="29"/>
        <v>0</v>
      </c>
    </row>
    <row r="353" spans="1:6" s="13" customFormat="1" ht="18.75" hidden="1" x14ac:dyDescent="0.3">
      <c r="A353" s="973"/>
      <c r="B353" s="891"/>
      <c r="C353" s="986">
        <f t="shared" ref="C353:C361" si="32">SUM(D353:E353)</f>
        <v>0</v>
      </c>
      <c r="D353" s="986"/>
      <c r="E353" s="990"/>
      <c r="F353" s="893">
        <f t="shared" si="29"/>
        <v>0</v>
      </c>
    </row>
    <row r="354" spans="1:6" s="13" customFormat="1" ht="18.75" hidden="1" x14ac:dyDescent="0.3">
      <c r="A354" s="973"/>
      <c r="B354" s="891"/>
      <c r="C354" s="986">
        <f t="shared" si="32"/>
        <v>0</v>
      </c>
      <c r="D354" s="986"/>
      <c r="E354" s="990"/>
      <c r="F354" s="893">
        <f t="shared" si="29"/>
        <v>0</v>
      </c>
    </row>
    <row r="355" spans="1:6" s="13" customFormat="1" ht="18.75" hidden="1" x14ac:dyDescent="0.3">
      <c r="A355" s="973"/>
      <c r="B355" s="891"/>
      <c r="C355" s="986">
        <f t="shared" si="32"/>
        <v>0</v>
      </c>
      <c r="D355" s="986"/>
      <c r="E355" s="990"/>
      <c r="F355" s="893">
        <f t="shared" si="29"/>
        <v>0</v>
      </c>
    </row>
    <row r="356" spans="1:6" s="13" customFormat="1" ht="18.75" hidden="1" x14ac:dyDescent="0.3">
      <c r="A356" s="973"/>
      <c r="B356" s="891"/>
      <c r="C356" s="986">
        <f t="shared" si="32"/>
        <v>0</v>
      </c>
      <c r="D356" s="986"/>
      <c r="E356" s="990"/>
      <c r="F356" s="893">
        <f t="shared" si="29"/>
        <v>0</v>
      </c>
    </row>
    <row r="357" spans="1:6" s="13" customFormat="1" ht="18.75" hidden="1" x14ac:dyDescent="0.3">
      <c r="A357" s="973"/>
      <c r="B357" s="891"/>
      <c r="C357" s="986">
        <f t="shared" si="32"/>
        <v>0</v>
      </c>
      <c r="D357" s="986"/>
      <c r="E357" s="990"/>
      <c r="F357" s="893">
        <f t="shared" si="29"/>
        <v>0</v>
      </c>
    </row>
    <row r="358" spans="1:6" s="13" customFormat="1" ht="18.75" hidden="1" x14ac:dyDescent="0.3">
      <c r="A358" s="973"/>
      <c r="B358" s="891"/>
      <c r="C358" s="986">
        <f t="shared" si="32"/>
        <v>0</v>
      </c>
      <c r="D358" s="986"/>
      <c r="E358" s="990"/>
      <c r="F358" s="893">
        <f t="shared" si="29"/>
        <v>0</v>
      </c>
    </row>
    <row r="359" spans="1:6" s="13" customFormat="1" ht="18.75" hidden="1" x14ac:dyDescent="0.3">
      <c r="A359" s="973"/>
      <c r="B359" s="891"/>
      <c r="C359" s="986">
        <f t="shared" si="32"/>
        <v>0</v>
      </c>
      <c r="D359" s="986"/>
      <c r="E359" s="990"/>
      <c r="F359" s="893">
        <f t="shared" si="29"/>
        <v>0</v>
      </c>
    </row>
    <row r="360" spans="1:6" s="13" customFormat="1" ht="18.75" hidden="1" x14ac:dyDescent="0.3">
      <c r="A360" s="973"/>
      <c r="B360" s="891"/>
      <c r="C360" s="986">
        <f t="shared" si="32"/>
        <v>0</v>
      </c>
      <c r="D360" s="986"/>
      <c r="E360" s="990"/>
      <c r="F360" s="893">
        <f t="shared" si="29"/>
        <v>0</v>
      </c>
    </row>
    <row r="361" spans="1:6" s="13" customFormat="1" ht="18.75" hidden="1" x14ac:dyDescent="0.3">
      <c r="A361" s="973"/>
      <c r="B361" s="891"/>
      <c r="C361" s="986">
        <f t="shared" si="32"/>
        <v>0</v>
      </c>
      <c r="D361" s="986"/>
      <c r="E361" s="990"/>
      <c r="F361" s="893">
        <f t="shared" si="29"/>
        <v>0</v>
      </c>
    </row>
    <row r="362" spans="1:6" s="13" customFormat="1" ht="18.75" hidden="1" x14ac:dyDescent="0.3">
      <c r="A362" s="974"/>
      <c r="B362" s="891" t="s">
        <v>740</v>
      </c>
      <c r="C362" s="986">
        <f>SUM(C352:C361)</f>
        <v>0</v>
      </c>
      <c r="D362" s="986">
        <f>SUM(D352:D361)</f>
        <v>0</v>
      </c>
      <c r="E362" s="986">
        <f>SUM(E352:E361)</f>
        <v>0</v>
      </c>
      <c r="F362" s="893">
        <f t="shared" si="29"/>
        <v>0</v>
      </c>
    </row>
    <row r="363" spans="1:6" s="13" customFormat="1" ht="75" hidden="1" customHeight="1" x14ac:dyDescent="0.3">
      <c r="A363" s="1669" t="s">
        <v>1100</v>
      </c>
      <c r="B363" s="85"/>
      <c r="C363" s="986"/>
      <c r="D363" s="992"/>
      <c r="E363" s="992"/>
      <c r="F363" s="893">
        <f t="shared" si="29"/>
        <v>0</v>
      </c>
    </row>
    <row r="364" spans="1:6" s="13" customFormat="1" ht="18.75" hidden="1" x14ac:dyDescent="0.3">
      <c r="A364" s="1667"/>
      <c r="B364" s="85"/>
      <c r="C364" s="986"/>
      <c r="D364" s="992"/>
      <c r="E364" s="992"/>
      <c r="F364" s="893">
        <f t="shared" si="29"/>
        <v>0</v>
      </c>
    </row>
    <row r="365" spans="1:6" s="13" customFormat="1" ht="18.75" hidden="1" x14ac:dyDescent="0.3">
      <c r="A365" s="1667"/>
      <c r="B365" s="85"/>
      <c r="C365" s="986"/>
      <c r="D365" s="992"/>
      <c r="E365" s="992"/>
      <c r="F365" s="893">
        <f t="shared" si="29"/>
        <v>0</v>
      </c>
    </row>
    <row r="366" spans="1:6" s="13" customFormat="1" ht="18.75" hidden="1" x14ac:dyDescent="0.3">
      <c r="A366" s="1667"/>
      <c r="B366" s="85"/>
      <c r="C366" s="986"/>
      <c r="D366" s="992"/>
      <c r="E366" s="992"/>
      <c r="F366" s="893">
        <f t="shared" si="29"/>
        <v>0</v>
      </c>
    </row>
    <row r="367" spans="1:6" s="13" customFormat="1" ht="18.75" hidden="1" x14ac:dyDescent="0.3">
      <c r="A367" s="1667"/>
      <c r="B367" s="891"/>
      <c r="C367" s="986"/>
      <c r="D367" s="992"/>
      <c r="E367" s="996"/>
      <c r="F367" s="893">
        <f t="shared" si="29"/>
        <v>0</v>
      </c>
    </row>
    <row r="368" spans="1:6" s="13" customFormat="1" ht="18.75" hidden="1" x14ac:dyDescent="0.3">
      <c r="A368" s="1667"/>
      <c r="B368" s="891"/>
      <c r="C368" s="986"/>
      <c r="D368" s="992"/>
      <c r="E368" s="996"/>
      <c r="F368" s="893">
        <f t="shared" si="29"/>
        <v>0</v>
      </c>
    </row>
    <row r="369" spans="1:6" ht="75" x14ac:dyDescent="0.3">
      <c r="A369" s="1667"/>
      <c r="B369" s="506" t="s">
        <v>1904</v>
      </c>
      <c r="C369" s="882">
        <v>40000</v>
      </c>
      <c r="D369" s="882">
        <v>40000</v>
      </c>
      <c r="E369" s="1529"/>
      <c r="F369" s="1525">
        <f t="shared" si="29"/>
        <v>40000</v>
      </c>
    </row>
    <row r="370" spans="1:6" s="13" customFormat="1" ht="18.75" hidden="1" x14ac:dyDescent="0.3">
      <c r="A370" s="1667"/>
      <c r="B370" s="891"/>
      <c r="C370" s="986"/>
      <c r="D370" s="986"/>
      <c r="E370" s="990"/>
      <c r="F370" s="893">
        <f t="shared" si="29"/>
        <v>0</v>
      </c>
    </row>
    <row r="371" spans="1:6" ht="56.25" x14ac:dyDescent="0.3">
      <c r="A371" s="1667"/>
      <c r="B371" s="862" t="s">
        <v>1741</v>
      </c>
      <c r="C371" s="1438">
        <f>SUM(D371:E371)</f>
        <v>10000</v>
      </c>
      <c r="D371" s="1438">
        <v>10000</v>
      </c>
      <c r="E371" s="1438"/>
      <c r="F371" s="1525">
        <f t="shared" si="29"/>
        <v>10000</v>
      </c>
    </row>
    <row r="372" spans="1:6" s="13" customFormat="1" ht="18.75" hidden="1" customHeight="1" x14ac:dyDescent="0.3">
      <c r="A372" s="1667"/>
      <c r="B372" s="891"/>
      <c r="C372" s="986"/>
      <c r="D372" s="986"/>
      <c r="E372" s="990"/>
      <c r="F372" s="893">
        <f t="shared" si="29"/>
        <v>0</v>
      </c>
    </row>
    <row r="373" spans="1:6" s="13" customFormat="1" ht="18.75" hidden="1" customHeight="1" x14ac:dyDescent="0.3">
      <c r="A373" s="1667"/>
      <c r="B373" s="891"/>
      <c r="C373" s="986"/>
      <c r="D373" s="986"/>
      <c r="E373" s="990"/>
      <c r="F373" s="893">
        <f t="shared" si="29"/>
        <v>0</v>
      </c>
    </row>
    <row r="374" spans="1:6" s="13" customFormat="1" ht="18.75" hidden="1" customHeight="1" x14ac:dyDescent="0.3">
      <c r="A374" s="1667"/>
      <c r="B374" s="891"/>
      <c r="C374" s="986"/>
      <c r="D374" s="986"/>
      <c r="E374" s="990"/>
      <c r="F374" s="893">
        <f t="shared" si="29"/>
        <v>0</v>
      </c>
    </row>
    <row r="375" spans="1:6" s="13" customFormat="1" ht="18.75" hidden="1" customHeight="1" x14ac:dyDescent="0.3">
      <c r="A375" s="1667"/>
      <c r="B375" s="891"/>
      <c r="C375" s="986">
        <f>SUM(D375:E375)</f>
        <v>0</v>
      </c>
      <c r="D375" s="986"/>
      <c r="E375" s="990"/>
      <c r="F375" s="893">
        <f t="shared" si="29"/>
        <v>0</v>
      </c>
    </row>
    <row r="376" spans="1:6" ht="18.75" x14ac:dyDescent="0.3">
      <c r="A376" s="1673"/>
      <c r="B376" s="862" t="s">
        <v>740</v>
      </c>
      <c r="C376" s="1438">
        <f>SUM(C363:C375)</f>
        <v>50000</v>
      </c>
      <c r="D376" s="1438">
        <f>SUM(D363:D375)</f>
        <v>50000</v>
      </c>
      <c r="E376" s="1438">
        <f>SUM(E363:E375)</f>
        <v>0</v>
      </c>
      <c r="F376" s="1525">
        <f t="shared" si="29"/>
        <v>50000</v>
      </c>
    </row>
    <row r="377" spans="1:6" s="13" customFormat="1" ht="93.75" hidden="1" x14ac:dyDescent="0.3">
      <c r="A377" s="972" t="s">
        <v>1101</v>
      </c>
      <c r="B377" s="891"/>
      <c r="C377" s="986">
        <f>SUM(D377:E377)</f>
        <v>0</v>
      </c>
      <c r="D377" s="986"/>
      <c r="E377" s="990"/>
      <c r="F377" s="893">
        <f t="shared" si="29"/>
        <v>0</v>
      </c>
    </row>
    <row r="378" spans="1:6" s="13" customFormat="1" ht="18.75" hidden="1" x14ac:dyDescent="0.3">
      <c r="A378" s="973"/>
      <c r="B378" s="891"/>
      <c r="C378" s="986">
        <f t="shared" ref="C378:C386" si="33">SUM(D378:E378)</f>
        <v>0</v>
      </c>
      <c r="D378" s="986"/>
      <c r="E378" s="990"/>
      <c r="F378" s="893">
        <f t="shared" si="29"/>
        <v>0</v>
      </c>
    </row>
    <row r="379" spans="1:6" s="13" customFormat="1" ht="18.75" hidden="1" x14ac:dyDescent="0.3">
      <c r="A379" s="973"/>
      <c r="B379" s="891"/>
      <c r="C379" s="986">
        <f t="shared" si="33"/>
        <v>0</v>
      </c>
      <c r="D379" s="986"/>
      <c r="E379" s="990"/>
      <c r="F379" s="893">
        <f t="shared" si="29"/>
        <v>0</v>
      </c>
    </row>
    <row r="380" spans="1:6" s="13" customFormat="1" ht="18.75" hidden="1" x14ac:dyDescent="0.3">
      <c r="A380" s="973"/>
      <c r="B380" s="891"/>
      <c r="C380" s="986">
        <f t="shared" si="33"/>
        <v>0</v>
      </c>
      <c r="D380" s="986"/>
      <c r="E380" s="990"/>
      <c r="F380" s="893">
        <f t="shared" si="29"/>
        <v>0</v>
      </c>
    </row>
    <row r="381" spans="1:6" s="13" customFormat="1" ht="18.75" hidden="1" x14ac:dyDescent="0.3">
      <c r="A381" s="973"/>
      <c r="B381" s="891"/>
      <c r="C381" s="986">
        <f t="shared" si="33"/>
        <v>0</v>
      </c>
      <c r="D381" s="986"/>
      <c r="E381" s="990"/>
      <c r="F381" s="893">
        <f t="shared" si="29"/>
        <v>0</v>
      </c>
    </row>
    <row r="382" spans="1:6" s="13" customFormat="1" ht="18.75" hidden="1" x14ac:dyDescent="0.3">
      <c r="A382" s="973"/>
      <c r="B382" s="891"/>
      <c r="C382" s="986">
        <f t="shared" si="33"/>
        <v>0</v>
      </c>
      <c r="D382" s="986"/>
      <c r="E382" s="990"/>
      <c r="F382" s="893">
        <f t="shared" si="29"/>
        <v>0</v>
      </c>
    </row>
    <row r="383" spans="1:6" s="13" customFormat="1" ht="18.75" hidden="1" x14ac:dyDescent="0.3">
      <c r="A383" s="973"/>
      <c r="B383" s="891"/>
      <c r="C383" s="986">
        <f t="shared" si="33"/>
        <v>0</v>
      </c>
      <c r="D383" s="986"/>
      <c r="E383" s="990"/>
      <c r="F383" s="893">
        <f t="shared" si="29"/>
        <v>0</v>
      </c>
    </row>
    <row r="384" spans="1:6" s="13" customFormat="1" ht="18.75" hidden="1" x14ac:dyDescent="0.3">
      <c r="A384" s="973"/>
      <c r="B384" s="891"/>
      <c r="C384" s="986">
        <f t="shared" si="33"/>
        <v>0</v>
      </c>
      <c r="D384" s="986"/>
      <c r="E384" s="990"/>
      <c r="F384" s="893">
        <f t="shared" si="29"/>
        <v>0</v>
      </c>
    </row>
    <row r="385" spans="1:6" s="13" customFormat="1" ht="18.75" hidden="1" x14ac:dyDescent="0.3">
      <c r="A385" s="973"/>
      <c r="B385" s="891"/>
      <c r="C385" s="986">
        <f t="shared" si="33"/>
        <v>0</v>
      </c>
      <c r="D385" s="986"/>
      <c r="E385" s="990"/>
      <c r="F385" s="893">
        <f t="shared" si="29"/>
        <v>0</v>
      </c>
    </row>
    <row r="386" spans="1:6" s="13" customFormat="1" ht="18.75" hidden="1" x14ac:dyDescent="0.3">
      <c r="A386" s="973"/>
      <c r="B386" s="891"/>
      <c r="C386" s="986">
        <f t="shared" si="33"/>
        <v>0</v>
      </c>
      <c r="D386" s="986"/>
      <c r="E386" s="990"/>
      <c r="F386" s="893">
        <f t="shared" si="29"/>
        <v>0</v>
      </c>
    </row>
    <row r="387" spans="1:6" s="13" customFormat="1" ht="18.75" hidden="1" x14ac:dyDescent="0.3">
      <c r="A387" s="974"/>
      <c r="B387" s="891" t="s">
        <v>740</v>
      </c>
      <c r="C387" s="986">
        <f>SUM(C377:C386)</f>
        <v>0</v>
      </c>
      <c r="D387" s="986">
        <f>SUM(D377:D386)</f>
        <v>0</v>
      </c>
      <c r="E387" s="986">
        <f>SUM(E377:E386)</f>
        <v>0</v>
      </c>
      <c r="F387" s="893">
        <f t="shared" si="29"/>
        <v>0</v>
      </c>
    </row>
    <row r="388" spans="1:6" s="13" customFormat="1" ht="75" hidden="1" x14ac:dyDescent="0.3">
      <c r="A388" s="972" t="s">
        <v>1102</v>
      </c>
      <c r="B388" s="891"/>
      <c r="C388" s="986">
        <f>SUM(D388:E388)</f>
        <v>0</v>
      </c>
      <c r="D388" s="986"/>
      <c r="E388" s="990"/>
      <c r="F388" s="893">
        <f t="shared" si="29"/>
        <v>0</v>
      </c>
    </row>
    <row r="389" spans="1:6" s="13" customFormat="1" ht="18.75" hidden="1" x14ac:dyDescent="0.3">
      <c r="A389" s="973"/>
      <c r="B389" s="891"/>
      <c r="C389" s="986">
        <f t="shared" ref="C389:C397" si="34">SUM(D389:E389)</f>
        <v>0</v>
      </c>
      <c r="D389" s="986"/>
      <c r="E389" s="990"/>
      <c r="F389" s="893">
        <f t="shared" si="29"/>
        <v>0</v>
      </c>
    </row>
    <row r="390" spans="1:6" s="13" customFormat="1" ht="18.75" hidden="1" x14ac:dyDescent="0.3">
      <c r="A390" s="973"/>
      <c r="B390" s="891"/>
      <c r="C390" s="986">
        <f t="shared" si="34"/>
        <v>0</v>
      </c>
      <c r="D390" s="986"/>
      <c r="E390" s="990"/>
      <c r="F390" s="893">
        <f t="shared" si="29"/>
        <v>0</v>
      </c>
    </row>
    <row r="391" spans="1:6" s="13" customFormat="1" ht="18.75" hidden="1" x14ac:dyDescent="0.3">
      <c r="A391" s="973"/>
      <c r="B391" s="891"/>
      <c r="C391" s="986">
        <f t="shared" si="34"/>
        <v>0</v>
      </c>
      <c r="D391" s="986"/>
      <c r="E391" s="990"/>
      <c r="F391" s="893">
        <f t="shared" si="29"/>
        <v>0</v>
      </c>
    </row>
    <row r="392" spans="1:6" s="13" customFormat="1" ht="18.75" hidden="1" x14ac:dyDescent="0.3">
      <c r="A392" s="973"/>
      <c r="B392" s="891"/>
      <c r="C392" s="986">
        <f t="shared" si="34"/>
        <v>0</v>
      </c>
      <c r="D392" s="986"/>
      <c r="E392" s="990"/>
      <c r="F392" s="893">
        <f t="shared" si="29"/>
        <v>0</v>
      </c>
    </row>
    <row r="393" spans="1:6" s="13" customFormat="1" ht="18.75" hidden="1" x14ac:dyDescent="0.3">
      <c r="A393" s="973"/>
      <c r="B393" s="891"/>
      <c r="C393" s="986">
        <f t="shared" si="34"/>
        <v>0</v>
      </c>
      <c r="D393" s="986"/>
      <c r="E393" s="990"/>
      <c r="F393" s="893">
        <f t="shared" si="29"/>
        <v>0</v>
      </c>
    </row>
    <row r="394" spans="1:6" s="13" customFormat="1" ht="18.75" hidden="1" x14ac:dyDescent="0.3">
      <c r="A394" s="973"/>
      <c r="B394" s="891"/>
      <c r="C394" s="986">
        <f t="shared" si="34"/>
        <v>0</v>
      </c>
      <c r="D394" s="986"/>
      <c r="E394" s="990"/>
      <c r="F394" s="893">
        <f t="shared" si="29"/>
        <v>0</v>
      </c>
    </row>
    <row r="395" spans="1:6" s="13" customFormat="1" ht="18.75" hidden="1" x14ac:dyDescent="0.3">
      <c r="A395" s="973"/>
      <c r="B395" s="891"/>
      <c r="C395" s="986">
        <f t="shared" si="34"/>
        <v>0</v>
      </c>
      <c r="D395" s="986"/>
      <c r="E395" s="990"/>
      <c r="F395" s="893">
        <f t="shared" si="29"/>
        <v>0</v>
      </c>
    </row>
    <row r="396" spans="1:6" s="13" customFormat="1" ht="18.75" hidden="1" x14ac:dyDescent="0.3">
      <c r="A396" s="973"/>
      <c r="B396" s="891"/>
      <c r="C396" s="986">
        <f t="shared" si="34"/>
        <v>0</v>
      </c>
      <c r="D396" s="986"/>
      <c r="E396" s="990"/>
      <c r="F396" s="893">
        <f t="shared" ref="F396:F459" si="35">C396</f>
        <v>0</v>
      </c>
    </row>
    <row r="397" spans="1:6" s="13" customFormat="1" ht="18.75" hidden="1" x14ac:dyDescent="0.3">
      <c r="A397" s="973"/>
      <c r="B397" s="891"/>
      <c r="C397" s="986">
        <f t="shared" si="34"/>
        <v>0</v>
      </c>
      <c r="D397" s="986"/>
      <c r="E397" s="990"/>
      <c r="F397" s="893">
        <f t="shared" si="35"/>
        <v>0</v>
      </c>
    </row>
    <row r="398" spans="1:6" s="13" customFormat="1" ht="18.75" hidden="1" x14ac:dyDescent="0.3">
      <c r="A398" s="974"/>
      <c r="B398" s="891" t="s">
        <v>740</v>
      </c>
      <c r="C398" s="986">
        <f>SUM(C388:C397)</f>
        <v>0</v>
      </c>
      <c r="D398" s="986">
        <f>SUM(D388:D397)</f>
        <v>0</v>
      </c>
      <c r="E398" s="986">
        <f>SUM(E388:E397)</f>
        <v>0</v>
      </c>
      <c r="F398" s="893">
        <f t="shared" si="35"/>
        <v>0</v>
      </c>
    </row>
    <row r="399" spans="1:6" s="13" customFormat="1" ht="93.75" hidden="1" x14ac:dyDescent="0.3">
      <c r="A399" s="972" t="s">
        <v>1103</v>
      </c>
      <c r="B399" s="891"/>
      <c r="C399" s="986">
        <f>SUM(D399:E399)</f>
        <v>0</v>
      </c>
      <c r="D399" s="986"/>
      <c r="E399" s="990"/>
      <c r="F399" s="893">
        <f t="shared" si="35"/>
        <v>0</v>
      </c>
    </row>
    <row r="400" spans="1:6" s="13" customFormat="1" ht="18.75" hidden="1" x14ac:dyDescent="0.3">
      <c r="A400" s="973"/>
      <c r="B400" s="891"/>
      <c r="C400" s="986">
        <f t="shared" ref="C400:C408" si="36">SUM(D400:E400)</f>
        <v>0</v>
      </c>
      <c r="D400" s="986"/>
      <c r="E400" s="990"/>
      <c r="F400" s="893">
        <f t="shared" si="35"/>
        <v>0</v>
      </c>
    </row>
    <row r="401" spans="1:6" s="13" customFormat="1" ht="18.75" hidden="1" x14ac:dyDescent="0.3">
      <c r="A401" s="973"/>
      <c r="B401" s="891"/>
      <c r="C401" s="986">
        <f t="shared" si="36"/>
        <v>0</v>
      </c>
      <c r="D401" s="986"/>
      <c r="E401" s="990"/>
      <c r="F401" s="893">
        <f t="shared" si="35"/>
        <v>0</v>
      </c>
    </row>
    <row r="402" spans="1:6" s="13" customFormat="1" ht="18.75" hidden="1" x14ac:dyDescent="0.3">
      <c r="A402" s="973"/>
      <c r="B402" s="891"/>
      <c r="C402" s="986">
        <f t="shared" si="36"/>
        <v>0</v>
      </c>
      <c r="D402" s="986"/>
      <c r="E402" s="990"/>
      <c r="F402" s="893">
        <f t="shared" si="35"/>
        <v>0</v>
      </c>
    </row>
    <row r="403" spans="1:6" s="13" customFormat="1" ht="18.75" hidden="1" x14ac:dyDescent="0.3">
      <c r="A403" s="973"/>
      <c r="B403" s="891"/>
      <c r="C403" s="986">
        <f t="shared" si="36"/>
        <v>0</v>
      </c>
      <c r="D403" s="986"/>
      <c r="E403" s="990"/>
      <c r="F403" s="893">
        <f t="shared" si="35"/>
        <v>0</v>
      </c>
    </row>
    <row r="404" spans="1:6" s="13" customFormat="1" ht="18.75" hidden="1" x14ac:dyDescent="0.3">
      <c r="A404" s="973"/>
      <c r="B404" s="891"/>
      <c r="C404" s="986">
        <f t="shared" si="36"/>
        <v>0</v>
      </c>
      <c r="D404" s="986"/>
      <c r="E404" s="990"/>
      <c r="F404" s="893">
        <f t="shared" si="35"/>
        <v>0</v>
      </c>
    </row>
    <row r="405" spans="1:6" s="13" customFormat="1" ht="18.75" hidden="1" x14ac:dyDescent="0.3">
      <c r="A405" s="973"/>
      <c r="B405" s="891"/>
      <c r="C405" s="986">
        <f t="shared" si="36"/>
        <v>0</v>
      </c>
      <c r="D405" s="986"/>
      <c r="E405" s="990"/>
      <c r="F405" s="893">
        <f t="shared" si="35"/>
        <v>0</v>
      </c>
    </row>
    <row r="406" spans="1:6" s="13" customFormat="1" ht="18.75" hidden="1" x14ac:dyDescent="0.3">
      <c r="A406" s="973"/>
      <c r="B406" s="891"/>
      <c r="C406" s="986">
        <f t="shared" si="36"/>
        <v>0</v>
      </c>
      <c r="D406" s="986"/>
      <c r="E406" s="990"/>
      <c r="F406" s="893">
        <f t="shared" si="35"/>
        <v>0</v>
      </c>
    </row>
    <row r="407" spans="1:6" s="13" customFormat="1" ht="18.75" hidden="1" x14ac:dyDescent="0.3">
      <c r="A407" s="973"/>
      <c r="B407" s="891"/>
      <c r="C407" s="986">
        <f t="shared" si="36"/>
        <v>0</v>
      </c>
      <c r="D407" s="986"/>
      <c r="E407" s="990"/>
      <c r="F407" s="893">
        <f t="shared" si="35"/>
        <v>0</v>
      </c>
    </row>
    <row r="408" spans="1:6" s="13" customFormat="1" ht="18.75" hidden="1" x14ac:dyDescent="0.3">
      <c r="A408" s="973"/>
      <c r="B408" s="891"/>
      <c r="C408" s="986">
        <f t="shared" si="36"/>
        <v>0</v>
      </c>
      <c r="D408" s="986"/>
      <c r="E408" s="990"/>
      <c r="F408" s="893">
        <f t="shared" si="35"/>
        <v>0</v>
      </c>
    </row>
    <row r="409" spans="1:6" s="13" customFormat="1" ht="18.75" hidden="1" x14ac:dyDescent="0.3">
      <c r="A409" s="974"/>
      <c r="B409" s="891" t="s">
        <v>740</v>
      </c>
      <c r="C409" s="986">
        <f>SUM(C399:C408)</f>
        <v>0</v>
      </c>
      <c r="D409" s="986">
        <f>SUM(D399:D408)</f>
        <v>0</v>
      </c>
      <c r="E409" s="986">
        <f>SUM(E399:E408)</f>
        <v>0</v>
      </c>
      <c r="F409" s="893">
        <f t="shared" si="35"/>
        <v>0</v>
      </c>
    </row>
    <row r="410" spans="1:6" s="13" customFormat="1" ht="75" hidden="1" x14ac:dyDescent="0.3">
      <c r="A410" s="972" t="s">
        <v>1104</v>
      </c>
      <c r="B410" s="997"/>
      <c r="C410" s="986"/>
      <c r="D410" s="992"/>
      <c r="E410" s="990"/>
      <c r="F410" s="893">
        <f t="shared" si="35"/>
        <v>0</v>
      </c>
    </row>
    <row r="411" spans="1:6" s="13" customFormat="1" ht="18.75" hidden="1" x14ac:dyDescent="0.3">
      <c r="A411" s="973"/>
      <c r="B411" s="891"/>
      <c r="C411" s="987"/>
      <c r="D411" s="987"/>
      <c r="E411" s="987"/>
      <c r="F411" s="893">
        <f t="shared" si="35"/>
        <v>0</v>
      </c>
    </row>
    <row r="412" spans="1:6" s="13" customFormat="1" ht="18.75" hidden="1" x14ac:dyDescent="0.3">
      <c r="A412" s="973"/>
      <c r="B412" s="85"/>
      <c r="C412" s="992"/>
      <c r="D412" s="992"/>
      <c r="E412" s="992"/>
      <c r="F412" s="893">
        <f t="shared" si="35"/>
        <v>0</v>
      </c>
    </row>
    <row r="413" spans="1:6" s="13" customFormat="1" ht="18.75" hidden="1" x14ac:dyDescent="0.3">
      <c r="A413" s="973"/>
      <c r="B413" s="85"/>
      <c r="C413" s="987"/>
      <c r="D413" s="987"/>
      <c r="E413" s="987"/>
      <c r="F413" s="893">
        <f t="shared" si="35"/>
        <v>0</v>
      </c>
    </row>
    <row r="414" spans="1:6" s="13" customFormat="1" ht="18.75" hidden="1" x14ac:dyDescent="0.3">
      <c r="A414" s="973"/>
      <c r="B414" s="85"/>
      <c r="C414" s="987"/>
      <c r="D414" s="987"/>
      <c r="E414" s="987"/>
      <c r="F414" s="893">
        <f t="shared" si="35"/>
        <v>0</v>
      </c>
    </row>
    <row r="415" spans="1:6" s="13" customFormat="1" ht="18.75" hidden="1" x14ac:dyDescent="0.3">
      <c r="A415" s="973"/>
      <c r="B415" s="891"/>
      <c r="C415" s="987"/>
      <c r="D415" s="987"/>
      <c r="E415" s="987"/>
      <c r="F415" s="893">
        <f t="shared" si="35"/>
        <v>0</v>
      </c>
    </row>
    <row r="416" spans="1:6" s="13" customFormat="1" ht="18.75" hidden="1" x14ac:dyDescent="0.3">
      <c r="A416" s="973"/>
      <c r="B416" s="891"/>
      <c r="C416" s="987"/>
      <c r="D416" s="987"/>
      <c r="E416" s="987"/>
      <c r="F416" s="893">
        <f t="shared" si="35"/>
        <v>0</v>
      </c>
    </row>
    <row r="417" spans="1:6" s="13" customFormat="1" ht="18.75" hidden="1" x14ac:dyDescent="0.3">
      <c r="A417" s="973"/>
      <c r="B417" s="891"/>
      <c r="C417" s="987"/>
      <c r="D417" s="987"/>
      <c r="E417" s="987"/>
      <c r="F417" s="893">
        <f t="shared" si="35"/>
        <v>0</v>
      </c>
    </row>
    <row r="418" spans="1:6" s="13" customFormat="1" ht="18.75" hidden="1" x14ac:dyDescent="0.3">
      <c r="A418" s="973"/>
      <c r="B418" s="891"/>
      <c r="C418" s="987"/>
      <c r="D418" s="987"/>
      <c r="E418" s="987"/>
      <c r="F418" s="893">
        <f t="shared" si="35"/>
        <v>0</v>
      </c>
    </row>
    <row r="419" spans="1:6" s="13" customFormat="1" ht="18.75" hidden="1" x14ac:dyDescent="0.3">
      <c r="A419" s="973"/>
      <c r="B419" s="891"/>
      <c r="C419" s="987"/>
      <c r="D419" s="987"/>
      <c r="E419" s="987"/>
      <c r="F419" s="893">
        <f t="shared" si="35"/>
        <v>0</v>
      </c>
    </row>
    <row r="420" spans="1:6" s="13" customFormat="1" ht="18.75" hidden="1" x14ac:dyDescent="0.3">
      <c r="A420" s="973"/>
      <c r="B420" s="891"/>
      <c r="C420" s="987"/>
      <c r="D420" s="987"/>
      <c r="E420" s="987"/>
      <c r="F420" s="893">
        <f t="shared" si="35"/>
        <v>0</v>
      </c>
    </row>
    <row r="421" spans="1:6" s="13" customFormat="1" ht="18.75" hidden="1" x14ac:dyDescent="0.3">
      <c r="A421" s="973"/>
      <c r="B421" s="891"/>
      <c r="C421" s="987"/>
      <c r="D421" s="987"/>
      <c r="E421" s="987"/>
      <c r="F421" s="893">
        <f t="shared" si="35"/>
        <v>0</v>
      </c>
    </row>
    <row r="422" spans="1:6" s="13" customFormat="1" ht="18.75" hidden="1" x14ac:dyDescent="0.3">
      <c r="A422" s="973"/>
      <c r="B422" s="891"/>
      <c r="C422" s="987"/>
      <c r="D422" s="987"/>
      <c r="E422" s="987"/>
      <c r="F422" s="893">
        <f t="shared" si="35"/>
        <v>0</v>
      </c>
    </row>
    <row r="423" spans="1:6" s="13" customFormat="1" ht="18.75" hidden="1" x14ac:dyDescent="0.3">
      <c r="A423" s="973"/>
      <c r="B423" s="891"/>
      <c r="C423" s="987"/>
      <c r="D423" s="987"/>
      <c r="E423" s="987"/>
      <c r="F423" s="893">
        <f t="shared" si="35"/>
        <v>0</v>
      </c>
    </row>
    <row r="424" spans="1:6" s="13" customFormat="1" ht="18.75" hidden="1" x14ac:dyDescent="0.3">
      <c r="A424" s="973"/>
      <c r="B424" s="891"/>
      <c r="C424" s="986">
        <f>SUM(D424:E424)</f>
        <v>0</v>
      </c>
      <c r="D424" s="986"/>
      <c r="E424" s="990"/>
      <c r="F424" s="893">
        <f t="shared" si="35"/>
        <v>0</v>
      </c>
    </row>
    <row r="425" spans="1:6" s="13" customFormat="1" ht="18.75" hidden="1" x14ac:dyDescent="0.3">
      <c r="A425" s="973"/>
      <c r="B425" s="891"/>
      <c r="C425" s="986">
        <f>SUM(D425:E425)</f>
        <v>0</v>
      </c>
      <c r="D425" s="986"/>
      <c r="E425" s="990"/>
      <c r="F425" s="893">
        <f t="shared" si="35"/>
        <v>0</v>
      </c>
    </row>
    <row r="426" spans="1:6" s="13" customFormat="1" ht="18.75" hidden="1" x14ac:dyDescent="0.3">
      <c r="A426" s="974"/>
      <c r="B426" s="891" t="s">
        <v>740</v>
      </c>
      <c r="C426" s="986">
        <f>SUM(C410:C425)</f>
        <v>0</v>
      </c>
      <c r="D426" s="986">
        <f>SUM(D410:D425)</f>
        <v>0</v>
      </c>
      <c r="E426" s="986">
        <f>SUM(E410:E425)</f>
        <v>0</v>
      </c>
      <c r="F426" s="893">
        <f t="shared" si="35"/>
        <v>0</v>
      </c>
    </row>
    <row r="427" spans="1:6" s="13" customFormat="1" ht="75" hidden="1" customHeight="1" x14ac:dyDescent="0.3">
      <c r="A427" s="1669" t="s">
        <v>1105</v>
      </c>
      <c r="B427" s="891"/>
      <c r="C427" s="986"/>
      <c r="D427" s="986"/>
      <c r="E427" s="996"/>
      <c r="F427" s="893">
        <f t="shared" si="35"/>
        <v>0</v>
      </c>
    </row>
    <row r="428" spans="1:6" ht="37.5" x14ac:dyDescent="0.3">
      <c r="A428" s="1667"/>
      <c r="B428" s="862" t="s">
        <v>1742</v>
      </c>
      <c r="C428" s="1438">
        <f t="shared" ref="C428:C436" si="37">SUM(D428:E428)</f>
        <v>25000</v>
      </c>
      <c r="D428" s="1438">
        <v>25000</v>
      </c>
      <c r="E428" s="1438"/>
      <c r="F428" s="1525">
        <f t="shared" si="35"/>
        <v>25000</v>
      </c>
    </row>
    <row r="429" spans="1:6" s="13" customFormat="1" ht="18.75" hidden="1" x14ac:dyDescent="0.3">
      <c r="A429" s="1667"/>
      <c r="B429" s="85"/>
      <c r="C429" s="986"/>
      <c r="D429" s="992"/>
      <c r="E429" s="992"/>
      <c r="F429" s="893">
        <f t="shared" si="35"/>
        <v>0</v>
      </c>
    </row>
    <row r="430" spans="1:6" s="13" customFormat="1" ht="18.75" hidden="1" x14ac:dyDescent="0.3">
      <c r="A430" s="1667"/>
      <c r="B430" s="85"/>
      <c r="C430" s="986"/>
      <c r="D430" s="992"/>
      <c r="E430" s="992"/>
      <c r="F430" s="893">
        <f t="shared" si="35"/>
        <v>0</v>
      </c>
    </row>
    <row r="431" spans="1:6" ht="75" x14ac:dyDescent="0.3">
      <c r="A431" s="1667"/>
      <c r="B431" s="862" t="s">
        <v>1743</v>
      </c>
      <c r="C431" s="1438">
        <f t="shared" si="37"/>
        <v>50000</v>
      </c>
      <c r="D431" s="1457">
        <v>50000</v>
      </c>
      <c r="E431" s="1457"/>
      <c r="F431" s="1525">
        <f t="shared" si="35"/>
        <v>50000</v>
      </c>
    </row>
    <row r="432" spans="1:6" ht="56.25" x14ac:dyDescent="0.3">
      <c r="A432" s="1667"/>
      <c r="B432" s="862" t="s">
        <v>1744</v>
      </c>
      <c r="C432" s="1438">
        <f t="shared" si="37"/>
        <v>50000</v>
      </c>
      <c r="D432" s="1457"/>
      <c r="E432" s="1457">
        <v>50000</v>
      </c>
      <c r="F432" s="1525">
        <f t="shared" si="35"/>
        <v>50000</v>
      </c>
    </row>
    <row r="433" spans="1:6" s="13" customFormat="1" ht="18.75" hidden="1" x14ac:dyDescent="0.3">
      <c r="A433" s="1667"/>
      <c r="B433" s="85"/>
      <c r="C433" s="986"/>
      <c r="D433" s="992"/>
      <c r="E433" s="992"/>
      <c r="F433" s="893">
        <f t="shared" si="35"/>
        <v>0</v>
      </c>
    </row>
    <row r="434" spans="1:6" s="13" customFormat="1" ht="18.75" hidden="1" x14ac:dyDescent="0.3">
      <c r="A434" s="1667"/>
      <c r="B434" s="891"/>
      <c r="C434" s="986"/>
      <c r="D434" s="992"/>
      <c r="E434" s="992"/>
      <c r="F434" s="893">
        <f t="shared" si="35"/>
        <v>0</v>
      </c>
    </row>
    <row r="435" spans="1:6" s="13" customFormat="1" ht="18.75" hidden="1" customHeight="1" x14ac:dyDescent="0.3">
      <c r="A435" s="1667"/>
      <c r="B435" s="891"/>
      <c r="C435" s="986">
        <f t="shared" si="37"/>
        <v>0</v>
      </c>
      <c r="D435" s="986"/>
      <c r="E435" s="990"/>
      <c r="F435" s="893">
        <f t="shared" si="35"/>
        <v>0</v>
      </c>
    </row>
    <row r="436" spans="1:6" s="13" customFormat="1" ht="18.75" hidden="1" customHeight="1" x14ac:dyDescent="0.3">
      <c r="A436" s="1667"/>
      <c r="B436" s="891"/>
      <c r="C436" s="986">
        <f t="shared" si="37"/>
        <v>0</v>
      </c>
      <c r="D436" s="986"/>
      <c r="E436" s="990"/>
      <c r="F436" s="893">
        <f t="shared" si="35"/>
        <v>0</v>
      </c>
    </row>
    <row r="437" spans="1:6" ht="18.75" x14ac:dyDescent="0.3">
      <c r="A437" s="1673"/>
      <c r="B437" s="862" t="s">
        <v>740</v>
      </c>
      <c r="C437" s="1438">
        <f>SUM(C427:C436)</f>
        <v>125000</v>
      </c>
      <c r="D437" s="1438">
        <f>SUM(D427:D436)</f>
        <v>75000</v>
      </c>
      <c r="E437" s="1438">
        <f>SUM(E427:E436)</f>
        <v>50000</v>
      </c>
      <c r="F437" s="1525">
        <f t="shared" si="35"/>
        <v>125000</v>
      </c>
    </row>
    <row r="438" spans="1:6" s="13" customFormat="1" ht="75" hidden="1" customHeight="1" x14ac:dyDescent="0.3">
      <c r="A438" s="1669" t="s">
        <v>1106</v>
      </c>
      <c r="B438" s="85"/>
      <c r="C438" s="986"/>
      <c r="D438" s="986"/>
      <c r="E438" s="996"/>
      <c r="F438" s="893">
        <f t="shared" si="35"/>
        <v>0</v>
      </c>
    </row>
    <row r="439" spans="1:6" s="13" customFormat="1" ht="18.75" hidden="1" x14ac:dyDescent="0.3">
      <c r="A439" s="1667"/>
      <c r="B439" s="85"/>
      <c r="C439" s="986"/>
      <c r="D439" s="986"/>
      <c r="E439" s="996"/>
      <c r="F439" s="893">
        <f t="shared" si="35"/>
        <v>0</v>
      </c>
    </row>
    <row r="440" spans="1:6" s="13" customFormat="1" ht="18.75" hidden="1" x14ac:dyDescent="0.3">
      <c r="A440" s="1667"/>
      <c r="B440" s="85"/>
      <c r="C440" s="986"/>
      <c r="D440" s="986"/>
      <c r="E440" s="996"/>
      <c r="F440" s="893">
        <f t="shared" si="35"/>
        <v>0</v>
      </c>
    </row>
    <row r="441" spans="1:6" ht="75" x14ac:dyDescent="0.3">
      <c r="A441" s="1667"/>
      <c r="B441" s="862" t="s">
        <v>1745</v>
      </c>
      <c r="C441" s="1438">
        <f t="shared" ref="C441:C447" si="38">SUM(D441:E441)</f>
        <v>50000</v>
      </c>
      <c r="D441" s="1438"/>
      <c r="E441" s="1438">
        <v>50000</v>
      </c>
      <c r="F441" s="1525">
        <f t="shared" si="35"/>
        <v>50000</v>
      </c>
    </row>
    <row r="442" spans="1:6" s="13" customFormat="1" ht="18.75" hidden="1" customHeight="1" x14ac:dyDescent="0.3">
      <c r="A442" s="1667"/>
      <c r="B442" s="891"/>
      <c r="C442" s="986">
        <f t="shared" si="38"/>
        <v>0</v>
      </c>
      <c r="D442" s="986"/>
      <c r="E442" s="990"/>
      <c r="F442" s="893">
        <f t="shared" si="35"/>
        <v>0</v>
      </c>
    </row>
    <row r="443" spans="1:6" s="13" customFormat="1" ht="18.75" hidden="1" customHeight="1" x14ac:dyDescent="0.3">
      <c r="A443" s="1667"/>
      <c r="B443" s="891"/>
      <c r="C443" s="986">
        <f t="shared" si="38"/>
        <v>0</v>
      </c>
      <c r="D443" s="986"/>
      <c r="E443" s="990"/>
      <c r="F443" s="893">
        <f t="shared" si="35"/>
        <v>0</v>
      </c>
    </row>
    <row r="444" spans="1:6" s="13" customFormat="1" ht="18.75" hidden="1" customHeight="1" x14ac:dyDescent="0.3">
      <c r="A444" s="1667"/>
      <c r="B444" s="891"/>
      <c r="C444" s="986">
        <f t="shared" si="38"/>
        <v>0</v>
      </c>
      <c r="D444" s="986"/>
      <c r="E444" s="990"/>
      <c r="F444" s="893">
        <f t="shared" si="35"/>
        <v>0</v>
      </c>
    </row>
    <row r="445" spans="1:6" s="13" customFormat="1" ht="18.75" hidden="1" customHeight="1" x14ac:dyDescent="0.3">
      <c r="A445" s="1667"/>
      <c r="B445" s="891"/>
      <c r="C445" s="986">
        <f t="shared" si="38"/>
        <v>0</v>
      </c>
      <c r="D445" s="986"/>
      <c r="E445" s="990"/>
      <c r="F445" s="893">
        <f t="shared" si="35"/>
        <v>0</v>
      </c>
    </row>
    <row r="446" spans="1:6" s="13" customFormat="1" ht="18.75" hidden="1" customHeight="1" x14ac:dyDescent="0.3">
      <c r="A446" s="1667"/>
      <c r="B446" s="891"/>
      <c r="C446" s="986">
        <f t="shared" si="38"/>
        <v>0</v>
      </c>
      <c r="D446" s="986"/>
      <c r="E446" s="990"/>
      <c r="F446" s="893">
        <f t="shared" si="35"/>
        <v>0</v>
      </c>
    </row>
    <row r="447" spans="1:6" s="13" customFormat="1" ht="18.75" hidden="1" customHeight="1" x14ac:dyDescent="0.3">
      <c r="A447" s="1667"/>
      <c r="B447" s="891"/>
      <c r="C447" s="986">
        <f t="shared" si="38"/>
        <v>0</v>
      </c>
      <c r="D447" s="986"/>
      <c r="E447" s="990"/>
      <c r="F447" s="893">
        <f t="shared" si="35"/>
        <v>0</v>
      </c>
    </row>
    <row r="448" spans="1:6" ht="18.75" x14ac:dyDescent="0.3">
      <c r="A448" s="1673"/>
      <c r="B448" s="862" t="s">
        <v>740</v>
      </c>
      <c r="C448" s="1438">
        <f>SUM(C438:C447)</f>
        <v>50000</v>
      </c>
      <c r="D448" s="1438">
        <f>SUM(D438:D447)</f>
        <v>0</v>
      </c>
      <c r="E448" s="1438">
        <f>SUM(E438:E447)</f>
        <v>50000</v>
      </c>
      <c r="F448" s="1525">
        <f t="shared" si="35"/>
        <v>50000</v>
      </c>
    </row>
    <row r="449" spans="1:6" s="13" customFormat="1" ht="93.75" hidden="1" x14ac:dyDescent="0.3">
      <c r="A449" s="972" t="s">
        <v>1107</v>
      </c>
      <c r="B449" s="85"/>
      <c r="C449" s="986"/>
      <c r="D449" s="986"/>
      <c r="E449" s="992"/>
      <c r="F449" s="893">
        <f t="shared" si="35"/>
        <v>0</v>
      </c>
    </row>
    <row r="450" spans="1:6" s="13" customFormat="1" ht="18.75" hidden="1" x14ac:dyDescent="0.3">
      <c r="A450" s="973"/>
      <c r="B450" s="85"/>
      <c r="C450" s="986"/>
      <c r="D450" s="992"/>
      <c r="E450" s="990"/>
      <c r="F450" s="893">
        <f t="shared" si="35"/>
        <v>0</v>
      </c>
    </row>
    <row r="451" spans="1:6" s="13" customFormat="1" ht="18.75" hidden="1" x14ac:dyDescent="0.3">
      <c r="A451" s="973"/>
      <c r="B451" s="85"/>
      <c r="C451" s="986"/>
      <c r="D451" s="992"/>
      <c r="E451" s="992"/>
      <c r="F451" s="893">
        <f t="shared" si="35"/>
        <v>0</v>
      </c>
    </row>
    <row r="452" spans="1:6" s="13" customFormat="1" ht="18.75" hidden="1" x14ac:dyDescent="0.3">
      <c r="A452" s="973"/>
      <c r="B452" s="891"/>
      <c r="C452" s="987"/>
      <c r="D452" s="987"/>
      <c r="E452" s="987"/>
      <c r="F452" s="893">
        <f t="shared" si="35"/>
        <v>0</v>
      </c>
    </row>
    <row r="453" spans="1:6" s="13" customFormat="1" ht="18.75" hidden="1" x14ac:dyDescent="0.3">
      <c r="A453" s="973"/>
      <c r="B453" s="891"/>
      <c r="C453" s="986">
        <f t="shared" ref="C453:C458" si="39">SUM(D453:E453)</f>
        <v>0</v>
      </c>
      <c r="D453" s="986"/>
      <c r="E453" s="990"/>
      <c r="F453" s="893">
        <f t="shared" si="35"/>
        <v>0</v>
      </c>
    </row>
    <row r="454" spans="1:6" s="13" customFormat="1" ht="18.75" hidden="1" x14ac:dyDescent="0.3">
      <c r="A454" s="973"/>
      <c r="B454" s="891"/>
      <c r="C454" s="986">
        <f t="shared" si="39"/>
        <v>0</v>
      </c>
      <c r="D454" s="986"/>
      <c r="E454" s="990"/>
      <c r="F454" s="893">
        <f t="shared" si="35"/>
        <v>0</v>
      </c>
    </row>
    <row r="455" spans="1:6" s="13" customFormat="1" ht="18.75" hidden="1" x14ac:dyDescent="0.3">
      <c r="A455" s="973"/>
      <c r="B455" s="891"/>
      <c r="C455" s="986">
        <f t="shared" si="39"/>
        <v>0</v>
      </c>
      <c r="D455" s="986"/>
      <c r="E455" s="990"/>
      <c r="F455" s="893">
        <f t="shared" si="35"/>
        <v>0</v>
      </c>
    </row>
    <row r="456" spans="1:6" s="13" customFormat="1" ht="18.75" hidden="1" x14ac:dyDescent="0.3">
      <c r="A456" s="973"/>
      <c r="B456" s="891"/>
      <c r="C456" s="986">
        <f t="shared" si="39"/>
        <v>0</v>
      </c>
      <c r="D456" s="986"/>
      <c r="E456" s="990"/>
      <c r="F456" s="893">
        <f t="shared" si="35"/>
        <v>0</v>
      </c>
    </row>
    <row r="457" spans="1:6" s="13" customFormat="1" ht="18.75" hidden="1" x14ac:dyDescent="0.3">
      <c r="A457" s="973"/>
      <c r="B457" s="891"/>
      <c r="C457" s="986">
        <f t="shared" si="39"/>
        <v>0</v>
      </c>
      <c r="D457" s="986"/>
      <c r="E457" s="990"/>
      <c r="F457" s="893">
        <f t="shared" si="35"/>
        <v>0</v>
      </c>
    </row>
    <row r="458" spans="1:6" s="13" customFormat="1" ht="18.75" hidden="1" x14ac:dyDescent="0.3">
      <c r="A458" s="973"/>
      <c r="B458" s="891"/>
      <c r="C458" s="986">
        <f t="shared" si="39"/>
        <v>0</v>
      </c>
      <c r="D458" s="986"/>
      <c r="E458" s="990"/>
      <c r="F458" s="893">
        <f t="shared" si="35"/>
        <v>0</v>
      </c>
    </row>
    <row r="459" spans="1:6" s="13" customFormat="1" ht="18.75" hidden="1" x14ac:dyDescent="0.3">
      <c r="A459" s="974"/>
      <c r="B459" s="891" t="s">
        <v>740</v>
      </c>
      <c r="C459" s="986">
        <f>SUM(C449:C458)</f>
        <v>0</v>
      </c>
      <c r="D459" s="986">
        <f>SUM(D449:D458)</f>
        <v>0</v>
      </c>
      <c r="E459" s="986">
        <f>SUM(E449:E458)</f>
        <v>0</v>
      </c>
      <c r="F459" s="893">
        <f t="shared" si="35"/>
        <v>0</v>
      </c>
    </row>
    <row r="460" spans="1:6" ht="93.75" x14ac:dyDescent="0.3">
      <c r="A460" s="1524" t="s">
        <v>1108</v>
      </c>
      <c r="B460" s="862" t="s">
        <v>1746</v>
      </c>
      <c r="C460" s="1438">
        <f>SUM(D460:E460)</f>
        <v>145000</v>
      </c>
      <c r="D460" s="1438"/>
      <c r="E460" s="1438">
        <v>145000</v>
      </c>
      <c r="F460" s="1525">
        <f t="shared" ref="F460:F523" si="40">C460</f>
        <v>145000</v>
      </c>
    </row>
    <row r="461" spans="1:6" s="13" customFormat="1" ht="18.75" hidden="1" x14ac:dyDescent="0.3">
      <c r="A461" s="973"/>
      <c r="B461" s="891"/>
      <c r="C461" s="986">
        <f t="shared" ref="C461:C469" si="41">SUM(D461:E461)</f>
        <v>0</v>
      </c>
      <c r="D461" s="986"/>
      <c r="E461" s="990"/>
      <c r="F461" s="893">
        <f t="shared" si="40"/>
        <v>0</v>
      </c>
    </row>
    <row r="462" spans="1:6" s="13" customFormat="1" ht="18.75" hidden="1" x14ac:dyDescent="0.3">
      <c r="A462" s="973"/>
      <c r="B462" s="891"/>
      <c r="C462" s="986">
        <f t="shared" si="41"/>
        <v>0</v>
      </c>
      <c r="D462" s="986"/>
      <c r="E462" s="990"/>
      <c r="F462" s="893">
        <f t="shared" si="40"/>
        <v>0</v>
      </c>
    </row>
    <row r="463" spans="1:6" s="13" customFormat="1" ht="18.75" hidden="1" x14ac:dyDescent="0.3">
      <c r="A463" s="973"/>
      <c r="B463" s="891"/>
      <c r="C463" s="986">
        <f t="shared" si="41"/>
        <v>0</v>
      </c>
      <c r="D463" s="986"/>
      <c r="E463" s="990"/>
      <c r="F463" s="893">
        <f t="shared" si="40"/>
        <v>0</v>
      </c>
    </row>
    <row r="464" spans="1:6" s="13" customFormat="1" ht="18.75" hidden="1" x14ac:dyDescent="0.3">
      <c r="A464" s="973"/>
      <c r="B464" s="891"/>
      <c r="C464" s="986">
        <f t="shared" si="41"/>
        <v>0</v>
      </c>
      <c r="D464" s="986"/>
      <c r="E464" s="990"/>
      <c r="F464" s="893">
        <f t="shared" si="40"/>
        <v>0</v>
      </c>
    </row>
    <row r="465" spans="1:6" s="13" customFormat="1" ht="18.75" hidden="1" x14ac:dyDescent="0.3">
      <c r="A465" s="973"/>
      <c r="B465" s="891"/>
      <c r="C465" s="986">
        <f t="shared" si="41"/>
        <v>0</v>
      </c>
      <c r="D465" s="986"/>
      <c r="E465" s="990"/>
      <c r="F465" s="893">
        <f t="shared" si="40"/>
        <v>0</v>
      </c>
    </row>
    <row r="466" spans="1:6" s="13" customFormat="1" ht="18.75" hidden="1" x14ac:dyDescent="0.3">
      <c r="A466" s="973"/>
      <c r="B466" s="891"/>
      <c r="C466" s="986">
        <f t="shared" si="41"/>
        <v>0</v>
      </c>
      <c r="D466" s="986"/>
      <c r="E466" s="990"/>
      <c r="F466" s="893">
        <f t="shared" si="40"/>
        <v>0</v>
      </c>
    </row>
    <row r="467" spans="1:6" s="13" customFormat="1" ht="18.75" hidden="1" x14ac:dyDescent="0.3">
      <c r="A467" s="973"/>
      <c r="B467" s="891"/>
      <c r="C467" s="986">
        <f t="shared" si="41"/>
        <v>0</v>
      </c>
      <c r="D467" s="986"/>
      <c r="E467" s="990"/>
      <c r="F467" s="893">
        <f t="shared" si="40"/>
        <v>0</v>
      </c>
    </row>
    <row r="468" spans="1:6" s="13" customFormat="1" ht="18.75" hidden="1" x14ac:dyDescent="0.3">
      <c r="A468" s="973"/>
      <c r="B468" s="891"/>
      <c r="C468" s="986">
        <f t="shared" si="41"/>
        <v>0</v>
      </c>
      <c r="D468" s="986"/>
      <c r="E468" s="990"/>
      <c r="F468" s="893">
        <f t="shared" si="40"/>
        <v>0</v>
      </c>
    </row>
    <row r="469" spans="1:6" s="13" customFormat="1" ht="18.75" hidden="1" x14ac:dyDescent="0.3">
      <c r="A469" s="973"/>
      <c r="B469" s="891"/>
      <c r="C469" s="986">
        <f t="shared" si="41"/>
        <v>0</v>
      </c>
      <c r="D469" s="986"/>
      <c r="E469" s="990"/>
      <c r="F469" s="893">
        <f t="shared" si="40"/>
        <v>0</v>
      </c>
    </row>
    <row r="470" spans="1:6" ht="18.75" x14ac:dyDescent="0.3">
      <c r="A470" s="1526"/>
      <c r="B470" s="862" t="s">
        <v>740</v>
      </c>
      <c r="C470" s="1438">
        <f>SUM(C460:C469)</f>
        <v>145000</v>
      </c>
      <c r="D470" s="1438">
        <f>SUM(D460:D469)</f>
        <v>0</v>
      </c>
      <c r="E470" s="1438">
        <f>SUM(E460:E469)</f>
        <v>145000</v>
      </c>
      <c r="F470" s="1525">
        <f t="shared" si="40"/>
        <v>145000</v>
      </c>
    </row>
    <row r="471" spans="1:6" s="13" customFormat="1" ht="75" hidden="1" x14ac:dyDescent="0.3">
      <c r="A471" s="972" t="s">
        <v>1109</v>
      </c>
      <c r="B471" s="891"/>
      <c r="C471" s="986">
        <f>SUM(D471:E471)</f>
        <v>0</v>
      </c>
      <c r="D471" s="986"/>
      <c r="E471" s="990"/>
      <c r="F471" s="893">
        <f t="shared" si="40"/>
        <v>0</v>
      </c>
    </row>
    <row r="472" spans="1:6" s="13" customFormat="1" ht="18.75" hidden="1" x14ac:dyDescent="0.3">
      <c r="A472" s="973"/>
      <c r="B472" s="891"/>
      <c r="C472" s="986">
        <f t="shared" ref="C472:C480" si="42">SUM(D472:E472)</f>
        <v>0</v>
      </c>
      <c r="D472" s="986"/>
      <c r="E472" s="990"/>
      <c r="F472" s="893">
        <f t="shared" si="40"/>
        <v>0</v>
      </c>
    </row>
    <row r="473" spans="1:6" s="13" customFormat="1" ht="18.75" hidden="1" x14ac:dyDescent="0.3">
      <c r="A473" s="973"/>
      <c r="B473" s="891"/>
      <c r="C473" s="986">
        <f t="shared" si="42"/>
        <v>0</v>
      </c>
      <c r="D473" s="986"/>
      <c r="E473" s="990"/>
      <c r="F473" s="893">
        <f t="shared" si="40"/>
        <v>0</v>
      </c>
    </row>
    <row r="474" spans="1:6" s="13" customFormat="1" ht="18.75" hidden="1" x14ac:dyDescent="0.3">
      <c r="A474" s="973"/>
      <c r="B474" s="891"/>
      <c r="C474" s="986">
        <f t="shared" si="42"/>
        <v>0</v>
      </c>
      <c r="D474" s="986"/>
      <c r="E474" s="990"/>
      <c r="F474" s="893">
        <f t="shared" si="40"/>
        <v>0</v>
      </c>
    </row>
    <row r="475" spans="1:6" s="13" customFormat="1" ht="18.75" hidden="1" x14ac:dyDescent="0.3">
      <c r="A475" s="973"/>
      <c r="B475" s="891"/>
      <c r="C475" s="986">
        <f t="shared" si="42"/>
        <v>0</v>
      </c>
      <c r="D475" s="986"/>
      <c r="E475" s="990"/>
      <c r="F475" s="893">
        <f t="shared" si="40"/>
        <v>0</v>
      </c>
    </row>
    <row r="476" spans="1:6" s="13" customFormat="1" ht="18.75" hidden="1" x14ac:dyDescent="0.3">
      <c r="A476" s="973"/>
      <c r="B476" s="891"/>
      <c r="C476" s="986">
        <f t="shared" si="42"/>
        <v>0</v>
      </c>
      <c r="D476" s="986"/>
      <c r="E476" s="990"/>
      <c r="F476" s="893">
        <f t="shared" si="40"/>
        <v>0</v>
      </c>
    </row>
    <row r="477" spans="1:6" s="13" customFormat="1" ht="18.75" hidden="1" x14ac:dyDescent="0.3">
      <c r="A477" s="973"/>
      <c r="B477" s="891"/>
      <c r="C477" s="986">
        <f t="shared" si="42"/>
        <v>0</v>
      </c>
      <c r="D477" s="986"/>
      <c r="E477" s="990"/>
      <c r="F477" s="893">
        <f t="shared" si="40"/>
        <v>0</v>
      </c>
    </row>
    <row r="478" spans="1:6" s="13" customFormat="1" ht="18.75" hidden="1" x14ac:dyDescent="0.3">
      <c r="A478" s="973"/>
      <c r="B478" s="891"/>
      <c r="C478" s="986">
        <f t="shared" si="42"/>
        <v>0</v>
      </c>
      <c r="D478" s="986"/>
      <c r="E478" s="990"/>
      <c r="F478" s="893">
        <f t="shared" si="40"/>
        <v>0</v>
      </c>
    </row>
    <row r="479" spans="1:6" s="13" customFormat="1" ht="18.75" hidden="1" x14ac:dyDescent="0.3">
      <c r="A479" s="973"/>
      <c r="B479" s="891"/>
      <c r="C479" s="986">
        <f t="shared" si="42"/>
        <v>0</v>
      </c>
      <c r="D479" s="986"/>
      <c r="E479" s="990"/>
      <c r="F479" s="893">
        <f t="shared" si="40"/>
        <v>0</v>
      </c>
    </row>
    <row r="480" spans="1:6" s="13" customFormat="1" ht="18.75" hidden="1" x14ac:dyDescent="0.3">
      <c r="A480" s="973"/>
      <c r="B480" s="891"/>
      <c r="C480" s="986">
        <f t="shared" si="42"/>
        <v>0</v>
      </c>
      <c r="D480" s="986"/>
      <c r="E480" s="990"/>
      <c r="F480" s="893">
        <f t="shared" si="40"/>
        <v>0</v>
      </c>
    </row>
    <row r="481" spans="1:6" s="13" customFormat="1" ht="18.75" hidden="1" x14ac:dyDescent="0.3">
      <c r="A481" s="974"/>
      <c r="B481" s="891" t="s">
        <v>740</v>
      </c>
      <c r="C481" s="986">
        <f>SUM(C471:C480)</f>
        <v>0</v>
      </c>
      <c r="D481" s="986">
        <f>SUM(D471:D480)</f>
        <v>0</v>
      </c>
      <c r="E481" s="986">
        <f>SUM(E471:E480)</f>
        <v>0</v>
      </c>
      <c r="F481" s="893">
        <f t="shared" si="40"/>
        <v>0</v>
      </c>
    </row>
    <row r="482" spans="1:6" s="13" customFormat="1" ht="75" hidden="1" x14ac:dyDescent="0.3">
      <c r="A482" s="972" t="s">
        <v>1110</v>
      </c>
      <c r="B482" s="891"/>
      <c r="C482" s="986">
        <f>SUM(D482:E482)</f>
        <v>0</v>
      </c>
      <c r="D482" s="986"/>
      <c r="E482" s="990"/>
      <c r="F482" s="893">
        <f t="shared" si="40"/>
        <v>0</v>
      </c>
    </row>
    <row r="483" spans="1:6" s="13" customFormat="1" ht="18.75" hidden="1" x14ac:dyDescent="0.3">
      <c r="A483" s="973"/>
      <c r="B483" s="891"/>
      <c r="C483" s="986">
        <f t="shared" ref="C483:C491" si="43">SUM(D483:E483)</f>
        <v>0</v>
      </c>
      <c r="D483" s="986"/>
      <c r="E483" s="990"/>
      <c r="F483" s="893">
        <f t="shared" si="40"/>
        <v>0</v>
      </c>
    </row>
    <row r="484" spans="1:6" s="13" customFormat="1" ht="18.75" hidden="1" x14ac:dyDescent="0.3">
      <c r="A484" s="973"/>
      <c r="B484" s="891"/>
      <c r="C484" s="986">
        <f t="shared" si="43"/>
        <v>0</v>
      </c>
      <c r="D484" s="986"/>
      <c r="E484" s="990"/>
      <c r="F484" s="893">
        <f t="shared" si="40"/>
        <v>0</v>
      </c>
    </row>
    <row r="485" spans="1:6" s="13" customFormat="1" ht="18.75" hidden="1" x14ac:dyDescent="0.3">
      <c r="A485" s="973"/>
      <c r="B485" s="891"/>
      <c r="C485" s="986">
        <f t="shared" si="43"/>
        <v>0</v>
      </c>
      <c r="D485" s="986"/>
      <c r="E485" s="990"/>
      <c r="F485" s="893">
        <f t="shared" si="40"/>
        <v>0</v>
      </c>
    </row>
    <row r="486" spans="1:6" s="13" customFormat="1" ht="18.75" hidden="1" x14ac:dyDescent="0.3">
      <c r="A486" s="973"/>
      <c r="B486" s="891"/>
      <c r="C486" s="986">
        <f t="shared" si="43"/>
        <v>0</v>
      </c>
      <c r="D486" s="986"/>
      <c r="E486" s="990"/>
      <c r="F486" s="893">
        <f t="shared" si="40"/>
        <v>0</v>
      </c>
    </row>
    <row r="487" spans="1:6" s="13" customFormat="1" ht="18.75" hidden="1" x14ac:dyDescent="0.3">
      <c r="A487" s="973"/>
      <c r="B487" s="891"/>
      <c r="C487" s="986">
        <f t="shared" si="43"/>
        <v>0</v>
      </c>
      <c r="D487" s="986"/>
      <c r="E487" s="990"/>
      <c r="F487" s="893">
        <f t="shared" si="40"/>
        <v>0</v>
      </c>
    </row>
    <row r="488" spans="1:6" s="13" customFormat="1" ht="18.75" hidden="1" x14ac:dyDescent="0.3">
      <c r="A488" s="973"/>
      <c r="B488" s="891"/>
      <c r="C488" s="986">
        <f t="shared" si="43"/>
        <v>0</v>
      </c>
      <c r="D488" s="986"/>
      <c r="E488" s="990"/>
      <c r="F488" s="893">
        <f t="shared" si="40"/>
        <v>0</v>
      </c>
    </row>
    <row r="489" spans="1:6" s="13" customFormat="1" ht="18.75" hidden="1" x14ac:dyDescent="0.3">
      <c r="A489" s="973"/>
      <c r="B489" s="891"/>
      <c r="C489" s="986">
        <f t="shared" si="43"/>
        <v>0</v>
      </c>
      <c r="D489" s="986"/>
      <c r="E489" s="990"/>
      <c r="F489" s="893">
        <f t="shared" si="40"/>
        <v>0</v>
      </c>
    </row>
    <row r="490" spans="1:6" s="13" customFormat="1" ht="18.75" hidden="1" x14ac:dyDescent="0.3">
      <c r="A490" s="973"/>
      <c r="B490" s="891"/>
      <c r="C490" s="986">
        <f t="shared" si="43"/>
        <v>0</v>
      </c>
      <c r="D490" s="986"/>
      <c r="E490" s="990"/>
      <c r="F490" s="893">
        <f t="shared" si="40"/>
        <v>0</v>
      </c>
    </row>
    <row r="491" spans="1:6" s="13" customFormat="1" ht="18.75" hidden="1" x14ac:dyDescent="0.3">
      <c r="A491" s="973"/>
      <c r="B491" s="891"/>
      <c r="C491" s="986">
        <f t="shared" si="43"/>
        <v>0</v>
      </c>
      <c r="D491" s="986"/>
      <c r="E491" s="990"/>
      <c r="F491" s="893">
        <f t="shared" si="40"/>
        <v>0</v>
      </c>
    </row>
    <row r="492" spans="1:6" s="13" customFormat="1" ht="18.75" hidden="1" x14ac:dyDescent="0.3">
      <c r="A492" s="974"/>
      <c r="B492" s="891" t="s">
        <v>740</v>
      </c>
      <c r="C492" s="986">
        <f>SUM(C482:C491)</f>
        <v>0</v>
      </c>
      <c r="D492" s="986">
        <f>SUM(D482:D491)</f>
        <v>0</v>
      </c>
      <c r="E492" s="986">
        <f>SUM(E482:E491)</f>
        <v>0</v>
      </c>
      <c r="F492" s="893">
        <f t="shared" si="40"/>
        <v>0</v>
      </c>
    </row>
    <row r="493" spans="1:6" s="13" customFormat="1" ht="93.75" hidden="1" x14ac:dyDescent="0.3">
      <c r="A493" s="972" t="s">
        <v>1111</v>
      </c>
      <c r="B493" s="891"/>
      <c r="C493" s="986">
        <f>SUM(D493:E493)</f>
        <v>0</v>
      </c>
      <c r="D493" s="986"/>
      <c r="E493" s="990"/>
      <c r="F493" s="893">
        <f t="shared" si="40"/>
        <v>0</v>
      </c>
    </row>
    <row r="494" spans="1:6" s="13" customFormat="1" ht="18.75" hidden="1" x14ac:dyDescent="0.3">
      <c r="A494" s="973"/>
      <c r="B494" s="891"/>
      <c r="C494" s="986">
        <f t="shared" ref="C494:C502" si="44">SUM(D494:E494)</f>
        <v>0</v>
      </c>
      <c r="D494" s="986"/>
      <c r="E494" s="990"/>
      <c r="F494" s="893">
        <f t="shared" si="40"/>
        <v>0</v>
      </c>
    </row>
    <row r="495" spans="1:6" s="13" customFormat="1" ht="18.75" hidden="1" x14ac:dyDescent="0.3">
      <c r="A495" s="973"/>
      <c r="B495" s="891"/>
      <c r="C495" s="986">
        <f t="shared" si="44"/>
        <v>0</v>
      </c>
      <c r="D495" s="986"/>
      <c r="E495" s="990"/>
      <c r="F495" s="893">
        <f t="shared" si="40"/>
        <v>0</v>
      </c>
    </row>
    <row r="496" spans="1:6" s="13" customFormat="1" ht="18.75" hidden="1" x14ac:dyDescent="0.3">
      <c r="A496" s="973"/>
      <c r="B496" s="891"/>
      <c r="C496" s="986">
        <f t="shared" si="44"/>
        <v>0</v>
      </c>
      <c r="D496" s="986"/>
      <c r="E496" s="990"/>
      <c r="F496" s="893">
        <f t="shared" si="40"/>
        <v>0</v>
      </c>
    </row>
    <row r="497" spans="1:6" s="13" customFormat="1" ht="18.75" hidden="1" x14ac:dyDescent="0.3">
      <c r="A497" s="973"/>
      <c r="B497" s="891"/>
      <c r="C497" s="986">
        <f t="shared" si="44"/>
        <v>0</v>
      </c>
      <c r="D497" s="986"/>
      <c r="E497" s="990"/>
      <c r="F497" s="893">
        <f t="shared" si="40"/>
        <v>0</v>
      </c>
    </row>
    <row r="498" spans="1:6" s="13" customFormat="1" ht="18.75" hidden="1" x14ac:dyDescent="0.3">
      <c r="A498" s="973"/>
      <c r="B498" s="891"/>
      <c r="C498" s="986">
        <f t="shared" si="44"/>
        <v>0</v>
      </c>
      <c r="D498" s="986"/>
      <c r="E498" s="990"/>
      <c r="F498" s="893">
        <f t="shared" si="40"/>
        <v>0</v>
      </c>
    </row>
    <row r="499" spans="1:6" s="13" customFormat="1" ht="18.75" hidden="1" x14ac:dyDescent="0.3">
      <c r="A499" s="973"/>
      <c r="B499" s="891"/>
      <c r="C499" s="986">
        <f t="shared" si="44"/>
        <v>0</v>
      </c>
      <c r="D499" s="986"/>
      <c r="E499" s="990"/>
      <c r="F499" s="893">
        <f t="shared" si="40"/>
        <v>0</v>
      </c>
    </row>
    <row r="500" spans="1:6" s="13" customFormat="1" ht="18.75" hidden="1" x14ac:dyDescent="0.3">
      <c r="A500" s="973"/>
      <c r="B500" s="891"/>
      <c r="C500" s="986">
        <f t="shared" si="44"/>
        <v>0</v>
      </c>
      <c r="D500" s="986"/>
      <c r="E500" s="990"/>
      <c r="F500" s="893">
        <f t="shared" si="40"/>
        <v>0</v>
      </c>
    </row>
    <row r="501" spans="1:6" s="13" customFormat="1" ht="18.75" hidden="1" x14ac:dyDescent="0.3">
      <c r="A501" s="973"/>
      <c r="B501" s="891"/>
      <c r="C501" s="986">
        <f t="shared" si="44"/>
        <v>0</v>
      </c>
      <c r="D501" s="986"/>
      <c r="E501" s="990"/>
      <c r="F501" s="893">
        <f t="shared" si="40"/>
        <v>0</v>
      </c>
    </row>
    <row r="502" spans="1:6" s="13" customFormat="1" ht="18.75" hidden="1" x14ac:dyDescent="0.3">
      <c r="A502" s="973"/>
      <c r="B502" s="891"/>
      <c r="C502" s="986">
        <f t="shared" si="44"/>
        <v>0</v>
      </c>
      <c r="D502" s="986"/>
      <c r="E502" s="990"/>
      <c r="F502" s="893">
        <f t="shared" si="40"/>
        <v>0</v>
      </c>
    </row>
    <row r="503" spans="1:6" s="13" customFormat="1" ht="18.75" hidden="1" x14ac:dyDescent="0.3">
      <c r="A503" s="974"/>
      <c r="B503" s="891" t="s">
        <v>740</v>
      </c>
      <c r="C503" s="986">
        <f>SUM(C493:C502)</f>
        <v>0</v>
      </c>
      <c r="D503" s="986">
        <f>SUM(D493:D502)</f>
        <v>0</v>
      </c>
      <c r="E503" s="986">
        <f>SUM(E493:E502)</f>
        <v>0</v>
      </c>
      <c r="F503" s="893">
        <f t="shared" si="40"/>
        <v>0</v>
      </c>
    </row>
    <row r="504" spans="1:6" s="13" customFormat="1" ht="93.75" hidden="1" x14ac:dyDescent="0.3">
      <c r="A504" s="972" t="s">
        <v>1112</v>
      </c>
      <c r="B504" s="85"/>
      <c r="C504" s="987"/>
      <c r="D504" s="987"/>
      <c r="E504" s="987"/>
      <c r="F504" s="893">
        <f t="shared" si="40"/>
        <v>0</v>
      </c>
    </row>
    <row r="505" spans="1:6" s="13" customFormat="1" ht="18.75" hidden="1" x14ac:dyDescent="0.3">
      <c r="A505" s="973"/>
      <c r="B505" s="891"/>
      <c r="C505" s="986">
        <f t="shared" ref="C505:C513" si="45">SUM(D505:E505)</f>
        <v>0</v>
      </c>
      <c r="D505" s="986"/>
      <c r="E505" s="990"/>
      <c r="F505" s="893">
        <f t="shared" si="40"/>
        <v>0</v>
      </c>
    </row>
    <row r="506" spans="1:6" s="13" customFormat="1" ht="18.75" hidden="1" x14ac:dyDescent="0.3">
      <c r="A506" s="973"/>
      <c r="B506" s="891"/>
      <c r="C506" s="986">
        <f t="shared" si="45"/>
        <v>0</v>
      </c>
      <c r="D506" s="986"/>
      <c r="E506" s="990"/>
      <c r="F506" s="893">
        <f t="shared" si="40"/>
        <v>0</v>
      </c>
    </row>
    <row r="507" spans="1:6" s="13" customFormat="1" ht="18.75" hidden="1" x14ac:dyDescent="0.3">
      <c r="A507" s="973"/>
      <c r="B507" s="891"/>
      <c r="C507" s="986">
        <f t="shared" si="45"/>
        <v>0</v>
      </c>
      <c r="D507" s="986"/>
      <c r="E507" s="990"/>
      <c r="F507" s="893">
        <f t="shared" si="40"/>
        <v>0</v>
      </c>
    </row>
    <row r="508" spans="1:6" s="13" customFormat="1" ht="18.75" hidden="1" x14ac:dyDescent="0.3">
      <c r="A508" s="973"/>
      <c r="B508" s="891"/>
      <c r="C508" s="986">
        <f t="shared" si="45"/>
        <v>0</v>
      </c>
      <c r="D508" s="986"/>
      <c r="E508" s="990"/>
      <c r="F508" s="893">
        <f t="shared" si="40"/>
        <v>0</v>
      </c>
    </row>
    <row r="509" spans="1:6" s="13" customFormat="1" ht="18.75" hidden="1" x14ac:dyDescent="0.3">
      <c r="A509" s="973"/>
      <c r="B509" s="891"/>
      <c r="C509" s="986">
        <f t="shared" si="45"/>
        <v>0</v>
      </c>
      <c r="D509" s="986"/>
      <c r="E509" s="990"/>
      <c r="F509" s="893">
        <f t="shared" si="40"/>
        <v>0</v>
      </c>
    </row>
    <row r="510" spans="1:6" s="13" customFormat="1" ht="18.75" hidden="1" x14ac:dyDescent="0.3">
      <c r="A510" s="973"/>
      <c r="B510" s="891"/>
      <c r="C510" s="986">
        <f t="shared" si="45"/>
        <v>0</v>
      </c>
      <c r="D510" s="986"/>
      <c r="E510" s="990"/>
      <c r="F510" s="893">
        <f t="shared" si="40"/>
        <v>0</v>
      </c>
    </row>
    <row r="511" spans="1:6" s="13" customFormat="1" ht="18.75" hidden="1" x14ac:dyDescent="0.3">
      <c r="A511" s="973"/>
      <c r="B511" s="891"/>
      <c r="C511" s="986">
        <f t="shared" si="45"/>
        <v>0</v>
      </c>
      <c r="D511" s="986"/>
      <c r="E511" s="990"/>
      <c r="F511" s="893">
        <f t="shared" si="40"/>
        <v>0</v>
      </c>
    </row>
    <row r="512" spans="1:6" s="13" customFormat="1" ht="18.75" hidden="1" x14ac:dyDescent="0.3">
      <c r="A512" s="973"/>
      <c r="B512" s="891"/>
      <c r="C512" s="986">
        <f t="shared" si="45"/>
        <v>0</v>
      </c>
      <c r="D512" s="986"/>
      <c r="E512" s="990"/>
      <c r="F512" s="893">
        <f t="shared" si="40"/>
        <v>0</v>
      </c>
    </row>
    <row r="513" spans="1:6" s="13" customFormat="1" ht="18.75" hidden="1" x14ac:dyDescent="0.3">
      <c r="A513" s="973"/>
      <c r="B513" s="891"/>
      <c r="C513" s="986">
        <f t="shared" si="45"/>
        <v>0</v>
      </c>
      <c r="D513" s="986"/>
      <c r="E513" s="990"/>
      <c r="F513" s="893">
        <f t="shared" si="40"/>
        <v>0</v>
      </c>
    </row>
    <row r="514" spans="1:6" s="13" customFormat="1" ht="18.75" hidden="1" x14ac:dyDescent="0.3">
      <c r="A514" s="974"/>
      <c r="B514" s="891" t="s">
        <v>740</v>
      </c>
      <c r="C514" s="986">
        <f>SUM(C504:C513)</f>
        <v>0</v>
      </c>
      <c r="D514" s="986">
        <f>SUM(D504:D513)</f>
        <v>0</v>
      </c>
      <c r="E514" s="986">
        <f>SUM(E504:E513)</f>
        <v>0</v>
      </c>
      <c r="F514" s="893">
        <f t="shared" si="40"/>
        <v>0</v>
      </c>
    </row>
    <row r="515" spans="1:6" s="13" customFormat="1" ht="93.75" hidden="1" x14ac:dyDescent="0.3">
      <c r="A515" s="972" t="s">
        <v>1113</v>
      </c>
      <c r="B515" s="891"/>
      <c r="C515" s="986"/>
      <c r="D515" s="987"/>
      <c r="E515" s="990"/>
      <c r="F515" s="893">
        <f t="shared" si="40"/>
        <v>0</v>
      </c>
    </row>
    <row r="516" spans="1:6" s="13" customFormat="1" ht="18.75" hidden="1" x14ac:dyDescent="0.3">
      <c r="A516" s="973"/>
      <c r="B516" s="891"/>
      <c r="C516" s="986"/>
      <c r="D516" s="987"/>
      <c r="E516" s="990"/>
      <c r="F516" s="893">
        <f t="shared" si="40"/>
        <v>0</v>
      </c>
    </row>
    <row r="517" spans="1:6" s="13" customFormat="1" ht="18.75" hidden="1" x14ac:dyDescent="0.3">
      <c r="A517" s="973"/>
      <c r="B517" s="891"/>
      <c r="C517" s="986">
        <f t="shared" ref="C517:C524" si="46">SUM(D517:E517)</f>
        <v>0</v>
      </c>
      <c r="D517" s="986"/>
      <c r="E517" s="990"/>
      <c r="F517" s="893">
        <f t="shared" si="40"/>
        <v>0</v>
      </c>
    </row>
    <row r="518" spans="1:6" s="13" customFormat="1" ht="18.75" hidden="1" x14ac:dyDescent="0.3">
      <c r="A518" s="973"/>
      <c r="B518" s="891"/>
      <c r="C518" s="986">
        <f t="shared" si="46"/>
        <v>0</v>
      </c>
      <c r="D518" s="986"/>
      <c r="E518" s="990"/>
      <c r="F518" s="893">
        <f t="shared" si="40"/>
        <v>0</v>
      </c>
    </row>
    <row r="519" spans="1:6" s="13" customFormat="1" ht="18.75" hidden="1" x14ac:dyDescent="0.3">
      <c r="A519" s="973"/>
      <c r="B519" s="891"/>
      <c r="C519" s="986">
        <f t="shared" si="46"/>
        <v>0</v>
      </c>
      <c r="D519" s="986"/>
      <c r="E519" s="990"/>
      <c r="F519" s="893">
        <f t="shared" si="40"/>
        <v>0</v>
      </c>
    </row>
    <row r="520" spans="1:6" s="13" customFormat="1" ht="18.75" hidden="1" x14ac:dyDescent="0.3">
      <c r="A520" s="973"/>
      <c r="B520" s="891"/>
      <c r="C520" s="986">
        <f t="shared" si="46"/>
        <v>0</v>
      </c>
      <c r="D520" s="986"/>
      <c r="E520" s="990"/>
      <c r="F520" s="893">
        <f t="shared" si="40"/>
        <v>0</v>
      </c>
    </row>
    <row r="521" spans="1:6" s="13" customFormat="1" ht="18.75" hidden="1" x14ac:dyDescent="0.3">
      <c r="A521" s="973"/>
      <c r="B521" s="891"/>
      <c r="C521" s="986">
        <f t="shared" si="46"/>
        <v>0</v>
      </c>
      <c r="D521" s="986"/>
      <c r="E521" s="990"/>
      <c r="F521" s="893">
        <f t="shared" si="40"/>
        <v>0</v>
      </c>
    </row>
    <row r="522" spans="1:6" s="13" customFormat="1" ht="18.75" hidden="1" x14ac:dyDescent="0.3">
      <c r="A522" s="973"/>
      <c r="B522" s="891"/>
      <c r="C522" s="986">
        <f t="shared" si="46"/>
        <v>0</v>
      </c>
      <c r="D522" s="986"/>
      <c r="E522" s="990"/>
      <c r="F522" s="893">
        <f t="shared" si="40"/>
        <v>0</v>
      </c>
    </row>
    <row r="523" spans="1:6" s="13" customFormat="1" ht="18.75" hidden="1" x14ac:dyDescent="0.3">
      <c r="A523" s="973"/>
      <c r="B523" s="891"/>
      <c r="C523" s="986">
        <f t="shared" si="46"/>
        <v>0</v>
      </c>
      <c r="D523" s="986"/>
      <c r="E523" s="990"/>
      <c r="F523" s="893">
        <f t="shared" si="40"/>
        <v>0</v>
      </c>
    </row>
    <row r="524" spans="1:6" s="13" customFormat="1" ht="18.75" hidden="1" x14ac:dyDescent="0.3">
      <c r="A524" s="973"/>
      <c r="B524" s="891"/>
      <c r="C524" s="986">
        <f t="shared" si="46"/>
        <v>0</v>
      </c>
      <c r="D524" s="986"/>
      <c r="E524" s="990"/>
      <c r="F524" s="893">
        <f t="shared" ref="F524:F587" si="47">C524</f>
        <v>0</v>
      </c>
    </row>
    <row r="525" spans="1:6" s="13" customFormat="1" ht="18.75" hidden="1" x14ac:dyDescent="0.3">
      <c r="A525" s="974"/>
      <c r="B525" s="891" t="s">
        <v>740</v>
      </c>
      <c r="C525" s="986">
        <f>SUM(C515:C524)</f>
        <v>0</v>
      </c>
      <c r="D525" s="986">
        <f>SUM(D515:D524)</f>
        <v>0</v>
      </c>
      <c r="E525" s="986">
        <f>SUM(E515:E524)</f>
        <v>0</v>
      </c>
      <c r="F525" s="893">
        <f t="shared" si="47"/>
        <v>0</v>
      </c>
    </row>
    <row r="526" spans="1:6" s="13" customFormat="1" ht="75" hidden="1" x14ac:dyDescent="0.3">
      <c r="A526" s="972" t="s">
        <v>1114</v>
      </c>
      <c r="B526" s="85"/>
      <c r="C526" s="986"/>
      <c r="D526" s="986"/>
      <c r="E526" s="992"/>
      <c r="F526" s="893">
        <f t="shared" si="47"/>
        <v>0</v>
      </c>
    </row>
    <row r="527" spans="1:6" s="13" customFormat="1" ht="18.75" hidden="1" x14ac:dyDescent="0.3">
      <c r="A527" s="973"/>
      <c r="B527" s="85"/>
      <c r="C527" s="986"/>
      <c r="D527" s="986"/>
      <c r="E527" s="992"/>
      <c r="F527" s="893">
        <f t="shared" si="47"/>
        <v>0</v>
      </c>
    </row>
    <row r="528" spans="1:6" s="13" customFormat="1" ht="18.75" hidden="1" x14ac:dyDescent="0.3">
      <c r="A528" s="973"/>
      <c r="B528" s="891"/>
      <c r="C528" s="987"/>
      <c r="D528" s="987"/>
      <c r="E528" s="987"/>
      <c r="F528" s="893">
        <f t="shared" si="47"/>
        <v>0</v>
      </c>
    </row>
    <row r="529" spans="1:6" s="13" customFormat="1" ht="18.75" hidden="1" x14ac:dyDescent="0.3">
      <c r="A529" s="973"/>
      <c r="B529" s="891"/>
      <c r="C529" s="986">
        <f t="shared" ref="C529:C535" si="48">SUM(D529:E529)</f>
        <v>0</v>
      </c>
      <c r="D529" s="986"/>
      <c r="E529" s="990"/>
      <c r="F529" s="893">
        <f t="shared" si="47"/>
        <v>0</v>
      </c>
    </row>
    <row r="530" spans="1:6" s="13" customFormat="1" ht="18.75" hidden="1" x14ac:dyDescent="0.3">
      <c r="A530" s="973"/>
      <c r="B530" s="891"/>
      <c r="C530" s="986">
        <f t="shared" si="48"/>
        <v>0</v>
      </c>
      <c r="D530" s="986"/>
      <c r="E530" s="990"/>
      <c r="F530" s="893">
        <f t="shared" si="47"/>
        <v>0</v>
      </c>
    </row>
    <row r="531" spans="1:6" s="13" customFormat="1" ht="18.75" hidden="1" x14ac:dyDescent="0.3">
      <c r="A531" s="973"/>
      <c r="B531" s="891"/>
      <c r="C531" s="986">
        <f t="shared" si="48"/>
        <v>0</v>
      </c>
      <c r="D531" s="986"/>
      <c r="E531" s="990"/>
      <c r="F531" s="893">
        <f t="shared" si="47"/>
        <v>0</v>
      </c>
    </row>
    <row r="532" spans="1:6" s="13" customFormat="1" ht="18.75" hidden="1" x14ac:dyDescent="0.3">
      <c r="A532" s="973"/>
      <c r="B532" s="891"/>
      <c r="C532" s="986">
        <f t="shared" si="48"/>
        <v>0</v>
      </c>
      <c r="D532" s="986"/>
      <c r="E532" s="990"/>
      <c r="F532" s="893">
        <f t="shared" si="47"/>
        <v>0</v>
      </c>
    </row>
    <row r="533" spans="1:6" s="13" customFormat="1" ht="18.75" hidden="1" x14ac:dyDescent="0.3">
      <c r="A533" s="973"/>
      <c r="B533" s="891"/>
      <c r="C533" s="986">
        <f t="shared" si="48"/>
        <v>0</v>
      </c>
      <c r="D533" s="986"/>
      <c r="E533" s="990"/>
      <c r="F533" s="893">
        <f t="shared" si="47"/>
        <v>0</v>
      </c>
    </row>
    <row r="534" spans="1:6" s="13" customFormat="1" ht="18.75" hidden="1" x14ac:dyDescent="0.3">
      <c r="A534" s="973"/>
      <c r="B534" s="891"/>
      <c r="C534" s="986">
        <f t="shared" si="48"/>
        <v>0</v>
      </c>
      <c r="D534" s="986"/>
      <c r="E534" s="990"/>
      <c r="F534" s="893">
        <f t="shared" si="47"/>
        <v>0</v>
      </c>
    </row>
    <row r="535" spans="1:6" s="13" customFormat="1" ht="18.75" hidden="1" x14ac:dyDescent="0.3">
      <c r="A535" s="973"/>
      <c r="B535" s="891"/>
      <c r="C535" s="986">
        <f t="shared" si="48"/>
        <v>0</v>
      </c>
      <c r="D535" s="986"/>
      <c r="E535" s="990"/>
      <c r="F535" s="893">
        <f t="shared" si="47"/>
        <v>0</v>
      </c>
    </row>
    <row r="536" spans="1:6" s="13" customFormat="1" ht="18.75" hidden="1" x14ac:dyDescent="0.3">
      <c r="A536" s="974"/>
      <c r="B536" s="891" t="s">
        <v>740</v>
      </c>
      <c r="C536" s="986">
        <f>SUM(C526:C535)</f>
        <v>0</v>
      </c>
      <c r="D536" s="986">
        <f>SUM(D526:D535)</f>
        <v>0</v>
      </c>
      <c r="E536" s="986">
        <f>SUM(E526:E535)</f>
        <v>0</v>
      </c>
      <c r="F536" s="893">
        <f t="shared" si="47"/>
        <v>0</v>
      </c>
    </row>
    <row r="537" spans="1:6" s="13" customFormat="1" ht="75" hidden="1" x14ac:dyDescent="0.3">
      <c r="A537" s="972" t="s">
        <v>1115</v>
      </c>
      <c r="B537" s="891"/>
      <c r="C537" s="986">
        <f>SUM(D537:E537)</f>
        <v>0</v>
      </c>
      <c r="D537" s="986"/>
      <c r="E537" s="990"/>
      <c r="F537" s="893">
        <f t="shared" si="47"/>
        <v>0</v>
      </c>
    </row>
    <row r="538" spans="1:6" s="13" customFormat="1" ht="18.75" hidden="1" x14ac:dyDescent="0.3">
      <c r="A538" s="973"/>
      <c r="B538" s="891"/>
      <c r="C538" s="986">
        <f t="shared" ref="C538:C546" si="49">SUM(D538:E538)</f>
        <v>0</v>
      </c>
      <c r="D538" s="986"/>
      <c r="E538" s="990"/>
      <c r="F538" s="893">
        <f t="shared" si="47"/>
        <v>0</v>
      </c>
    </row>
    <row r="539" spans="1:6" s="13" customFormat="1" ht="18.75" hidden="1" x14ac:dyDescent="0.3">
      <c r="A539" s="973"/>
      <c r="B539" s="891"/>
      <c r="C539" s="986">
        <f t="shared" si="49"/>
        <v>0</v>
      </c>
      <c r="D539" s="986"/>
      <c r="E539" s="990"/>
      <c r="F539" s="893">
        <f t="shared" si="47"/>
        <v>0</v>
      </c>
    </row>
    <row r="540" spans="1:6" s="13" customFormat="1" ht="18.75" hidden="1" x14ac:dyDescent="0.3">
      <c r="A540" s="973"/>
      <c r="B540" s="891"/>
      <c r="C540" s="986">
        <f t="shared" si="49"/>
        <v>0</v>
      </c>
      <c r="D540" s="986"/>
      <c r="E540" s="990"/>
      <c r="F540" s="893">
        <f t="shared" si="47"/>
        <v>0</v>
      </c>
    </row>
    <row r="541" spans="1:6" s="13" customFormat="1" ht="18.75" hidden="1" x14ac:dyDescent="0.3">
      <c r="A541" s="973"/>
      <c r="B541" s="891"/>
      <c r="C541" s="986">
        <f t="shared" si="49"/>
        <v>0</v>
      </c>
      <c r="D541" s="986"/>
      <c r="E541" s="990"/>
      <c r="F541" s="893">
        <f t="shared" si="47"/>
        <v>0</v>
      </c>
    </row>
    <row r="542" spans="1:6" s="13" customFormat="1" ht="18.75" hidden="1" x14ac:dyDescent="0.3">
      <c r="A542" s="973"/>
      <c r="B542" s="891"/>
      <c r="C542" s="986">
        <f t="shared" si="49"/>
        <v>0</v>
      </c>
      <c r="D542" s="986"/>
      <c r="E542" s="990"/>
      <c r="F542" s="893">
        <f t="shared" si="47"/>
        <v>0</v>
      </c>
    </row>
    <row r="543" spans="1:6" s="13" customFormat="1" ht="18.75" hidden="1" x14ac:dyDescent="0.3">
      <c r="A543" s="973"/>
      <c r="B543" s="891"/>
      <c r="C543" s="986">
        <f t="shared" si="49"/>
        <v>0</v>
      </c>
      <c r="D543" s="986"/>
      <c r="E543" s="990"/>
      <c r="F543" s="893">
        <f t="shared" si="47"/>
        <v>0</v>
      </c>
    </row>
    <row r="544" spans="1:6" s="13" customFormat="1" ht="18.75" hidden="1" x14ac:dyDescent="0.3">
      <c r="A544" s="973"/>
      <c r="B544" s="891"/>
      <c r="C544" s="986">
        <f t="shared" si="49"/>
        <v>0</v>
      </c>
      <c r="D544" s="986"/>
      <c r="E544" s="990"/>
      <c r="F544" s="893">
        <f t="shared" si="47"/>
        <v>0</v>
      </c>
    </row>
    <row r="545" spans="1:6" s="13" customFormat="1" ht="18.75" hidden="1" x14ac:dyDescent="0.3">
      <c r="A545" s="973"/>
      <c r="B545" s="891"/>
      <c r="C545" s="986">
        <f t="shared" si="49"/>
        <v>0</v>
      </c>
      <c r="D545" s="986"/>
      <c r="E545" s="990"/>
      <c r="F545" s="893">
        <f t="shared" si="47"/>
        <v>0</v>
      </c>
    </row>
    <row r="546" spans="1:6" s="13" customFormat="1" ht="18.75" hidden="1" x14ac:dyDescent="0.3">
      <c r="A546" s="973"/>
      <c r="B546" s="891"/>
      <c r="C546" s="986">
        <f t="shared" si="49"/>
        <v>0</v>
      </c>
      <c r="D546" s="986"/>
      <c r="E546" s="990"/>
      <c r="F546" s="893">
        <f t="shared" si="47"/>
        <v>0</v>
      </c>
    </row>
    <row r="547" spans="1:6" s="13" customFormat="1" ht="18.75" hidden="1" x14ac:dyDescent="0.3">
      <c r="A547" s="974"/>
      <c r="B547" s="891" t="s">
        <v>740</v>
      </c>
      <c r="C547" s="986">
        <f>SUM(C537:C546)</f>
        <v>0</v>
      </c>
      <c r="D547" s="986">
        <f>SUM(D537:D546)</f>
        <v>0</v>
      </c>
      <c r="E547" s="986">
        <f>SUM(E537:E546)</f>
        <v>0</v>
      </c>
      <c r="F547" s="893">
        <f t="shared" si="47"/>
        <v>0</v>
      </c>
    </row>
    <row r="548" spans="1:6" s="13" customFormat="1" ht="93.75" hidden="1" customHeight="1" x14ac:dyDescent="0.3">
      <c r="A548" s="1669" t="s">
        <v>1116</v>
      </c>
      <c r="B548" s="891"/>
      <c r="C548" s="986"/>
      <c r="D548" s="986"/>
      <c r="E548" s="990"/>
      <c r="F548" s="893">
        <f t="shared" si="47"/>
        <v>0</v>
      </c>
    </row>
    <row r="549" spans="1:6" s="13" customFormat="1" ht="18.75" hidden="1" customHeight="1" x14ac:dyDescent="0.3">
      <c r="A549" s="1667"/>
      <c r="B549" s="85"/>
      <c r="C549" s="986"/>
      <c r="D549" s="986"/>
      <c r="E549" s="990"/>
      <c r="F549" s="893">
        <f t="shared" si="47"/>
        <v>0</v>
      </c>
    </row>
    <row r="550" spans="1:6" s="13" customFormat="1" ht="18.75" hidden="1" customHeight="1" x14ac:dyDescent="0.3">
      <c r="A550" s="1667"/>
      <c r="B550" s="85"/>
      <c r="C550" s="992"/>
      <c r="D550" s="992"/>
      <c r="E550" s="992"/>
      <c r="F550" s="893">
        <f t="shared" si="47"/>
        <v>0</v>
      </c>
    </row>
    <row r="551" spans="1:6" ht="56.25" x14ac:dyDescent="0.3">
      <c r="A551" s="1667"/>
      <c r="B551" s="862" t="s">
        <v>1747</v>
      </c>
      <c r="C551" s="1457">
        <v>163000</v>
      </c>
      <c r="D551" s="1457"/>
      <c r="E551" s="1457">
        <v>163000</v>
      </c>
      <c r="F551" s="1525">
        <f t="shared" si="47"/>
        <v>163000</v>
      </c>
    </row>
    <row r="552" spans="1:6" s="13" customFormat="1" ht="18.75" hidden="1" customHeight="1" x14ac:dyDescent="0.3">
      <c r="A552" s="1667"/>
      <c r="B552" s="999"/>
      <c r="C552" s="992"/>
      <c r="D552" s="992"/>
      <c r="E552" s="992"/>
      <c r="F552" s="893">
        <f t="shared" si="47"/>
        <v>0</v>
      </c>
    </row>
    <row r="553" spans="1:6" s="13" customFormat="1" ht="18.75" hidden="1" customHeight="1" x14ac:dyDescent="0.3">
      <c r="A553" s="1667"/>
      <c r="B553" s="85"/>
      <c r="C553" s="992"/>
      <c r="D553" s="987"/>
      <c r="E553" s="987"/>
      <c r="F553" s="893">
        <f t="shared" si="47"/>
        <v>0</v>
      </c>
    </row>
    <row r="554" spans="1:6" s="13" customFormat="1" ht="18.75" hidden="1" customHeight="1" x14ac:dyDescent="0.3">
      <c r="A554" s="1667"/>
      <c r="B554" s="85"/>
      <c r="C554" s="992"/>
      <c r="D554" s="987"/>
      <c r="E554" s="987"/>
      <c r="F554" s="893">
        <f t="shared" si="47"/>
        <v>0</v>
      </c>
    </row>
    <row r="555" spans="1:6" s="13" customFormat="1" ht="18.75" hidden="1" customHeight="1" x14ac:dyDescent="0.3">
      <c r="A555" s="1667"/>
      <c r="B555" s="891"/>
      <c r="C555" s="992"/>
      <c r="D555" s="987"/>
      <c r="E555" s="987"/>
      <c r="F555" s="893">
        <f t="shared" si="47"/>
        <v>0</v>
      </c>
    </row>
    <row r="556" spans="1:6" s="13" customFormat="1" ht="18.75" hidden="1" customHeight="1" x14ac:dyDescent="0.3">
      <c r="A556" s="1667"/>
      <c r="B556" s="85"/>
      <c r="C556" s="992"/>
      <c r="D556" s="987"/>
      <c r="E556" s="987"/>
      <c r="F556" s="893">
        <f t="shared" si="47"/>
        <v>0</v>
      </c>
    </row>
    <row r="557" spans="1:6" s="13" customFormat="1" ht="18.75" hidden="1" customHeight="1" x14ac:dyDescent="0.3">
      <c r="A557" s="1667"/>
      <c r="B557" s="85"/>
      <c r="C557" s="992"/>
      <c r="D557" s="992"/>
      <c r="E557" s="992"/>
      <c r="F557" s="893">
        <f t="shared" si="47"/>
        <v>0</v>
      </c>
    </row>
    <row r="558" spans="1:6" s="13" customFormat="1" ht="18.75" hidden="1" customHeight="1" x14ac:dyDescent="0.3">
      <c r="A558" s="1667"/>
      <c r="B558" s="85"/>
      <c r="C558" s="987"/>
      <c r="D558" s="987"/>
      <c r="E558" s="987"/>
      <c r="F558" s="893">
        <f t="shared" si="47"/>
        <v>0</v>
      </c>
    </row>
    <row r="559" spans="1:6" s="13" customFormat="1" ht="18.75" hidden="1" customHeight="1" x14ac:dyDescent="0.3">
      <c r="A559" s="1667"/>
      <c r="B559" s="891"/>
      <c r="C559" s="987"/>
      <c r="D559" s="987"/>
      <c r="E559" s="987"/>
      <c r="F559" s="893">
        <f t="shared" si="47"/>
        <v>0</v>
      </c>
    </row>
    <row r="560" spans="1:6" s="13" customFormat="1" ht="18.75" hidden="1" customHeight="1" x14ac:dyDescent="0.3">
      <c r="A560" s="1667"/>
      <c r="B560" s="85"/>
      <c r="C560" s="987"/>
      <c r="D560" s="987"/>
      <c r="E560" s="987"/>
      <c r="F560" s="893">
        <f t="shared" si="47"/>
        <v>0</v>
      </c>
    </row>
    <row r="561" spans="1:6" s="13" customFormat="1" ht="18.75" hidden="1" customHeight="1" x14ac:dyDescent="0.3">
      <c r="A561" s="1667"/>
      <c r="B561" s="85"/>
      <c r="C561" s="987"/>
      <c r="D561" s="987"/>
      <c r="E561" s="987"/>
      <c r="F561" s="893">
        <f t="shared" si="47"/>
        <v>0</v>
      </c>
    </row>
    <row r="562" spans="1:6" ht="93.75" x14ac:dyDescent="0.3">
      <c r="A562" s="1667"/>
      <c r="B562" s="862" t="s">
        <v>1781</v>
      </c>
      <c r="C562" s="1457">
        <v>49990</v>
      </c>
      <c r="D562" s="1457">
        <v>49990</v>
      </c>
      <c r="E562" s="1457"/>
      <c r="F562" s="1525">
        <f t="shared" si="47"/>
        <v>49990</v>
      </c>
    </row>
    <row r="563" spans="1:6" ht="56.25" x14ac:dyDescent="0.3">
      <c r="A563" s="1667"/>
      <c r="B563" s="1530" t="s">
        <v>1782</v>
      </c>
      <c r="C563" s="1457">
        <v>49900</v>
      </c>
      <c r="D563" s="1457">
        <v>49900</v>
      </c>
      <c r="E563" s="1457"/>
      <c r="F563" s="1525">
        <f t="shared" si="47"/>
        <v>49900</v>
      </c>
    </row>
    <row r="564" spans="1:6" s="13" customFormat="1" ht="18.75" hidden="1" x14ac:dyDescent="0.3">
      <c r="A564" s="1667"/>
      <c r="B564" s="891"/>
      <c r="C564" s="987"/>
      <c r="D564" s="987"/>
      <c r="E564" s="987"/>
      <c r="F564" s="893">
        <f t="shared" si="47"/>
        <v>0</v>
      </c>
    </row>
    <row r="565" spans="1:6" s="13" customFormat="1" ht="18.75" hidden="1" x14ac:dyDescent="0.3">
      <c r="A565" s="1667"/>
      <c r="B565" s="891"/>
      <c r="C565" s="987"/>
      <c r="D565" s="987"/>
      <c r="E565" s="987"/>
      <c r="F565" s="893">
        <f t="shared" si="47"/>
        <v>0</v>
      </c>
    </row>
    <row r="566" spans="1:6" s="13" customFormat="1" ht="18.75" hidden="1" x14ac:dyDescent="0.3">
      <c r="A566" s="1667"/>
      <c r="B566" s="891"/>
      <c r="C566" s="987"/>
      <c r="D566" s="987"/>
      <c r="E566" s="987"/>
      <c r="F566" s="893">
        <f t="shared" si="47"/>
        <v>0</v>
      </c>
    </row>
    <row r="567" spans="1:6" s="13" customFormat="1" ht="18.75" hidden="1" customHeight="1" x14ac:dyDescent="0.3">
      <c r="A567" s="1667"/>
      <c r="B567" s="1000"/>
      <c r="C567" s="987"/>
      <c r="D567" s="987"/>
      <c r="E567" s="987"/>
      <c r="F567" s="893">
        <f t="shared" si="47"/>
        <v>0</v>
      </c>
    </row>
    <row r="568" spans="1:6" s="13" customFormat="1" ht="18.75" hidden="1" customHeight="1" x14ac:dyDescent="0.3">
      <c r="A568" s="1667"/>
      <c r="B568" s="1000"/>
      <c r="C568" s="987"/>
      <c r="D568" s="987"/>
      <c r="E568" s="987"/>
      <c r="F568" s="893">
        <f t="shared" si="47"/>
        <v>0</v>
      </c>
    </row>
    <row r="569" spans="1:6" s="13" customFormat="1" ht="18.75" hidden="1" customHeight="1" x14ac:dyDescent="0.3">
      <c r="A569" s="1667"/>
      <c r="B569" s="1000"/>
      <c r="C569" s="987"/>
      <c r="D569" s="987"/>
      <c r="E569" s="987"/>
      <c r="F569" s="893">
        <f t="shared" si="47"/>
        <v>0</v>
      </c>
    </row>
    <row r="570" spans="1:6" s="13" customFormat="1" ht="18.75" hidden="1" customHeight="1" x14ac:dyDescent="0.3">
      <c r="A570" s="1667"/>
      <c r="B570" s="891"/>
      <c r="C570" s="986">
        <f>SUM(D570:E570)</f>
        <v>0</v>
      </c>
      <c r="D570" s="986"/>
      <c r="E570" s="990"/>
      <c r="F570" s="893">
        <f t="shared" si="47"/>
        <v>0</v>
      </c>
    </row>
    <row r="571" spans="1:6" s="13" customFormat="1" ht="18.75" hidden="1" customHeight="1" x14ac:dyDescent="0.3">
      <c r="A571" s="1667"/>
      <c r="B571" s="891"/>
      <c r="C571" s="986">
        <f>SUM(D571:E571)</f>
        <v>0</v>
      </c>
      <c r="D571" s="986"/>
      <c r="E571" s="990"/>
      <c r="F571" s="893">
        <f t="shared" si="47"/>
        <v>0</v>
      </c>
    </row>
    <row r="572" spans="1:6" ht="18.75" x14ac:dyDescent="0.3">
      <c r="A572" s="1673"/>
      <c r="B572" s="862" t="s">
        <v>740</v>
      </c>
      <c r="C572" s="1438">
        <f>SUM(C548:C571)</f>
        <v>262890</v>
      </c>
      <c r="D572" s="1438">
        <f>SUM(D548:D571)</f>
        <v>99890</v>
      </c>
      <c r="E572" s="1438">
        <f>SUM(E548:E571)</f>
        <v>163000</v>
      </c>
      <c r="F572" s="1525">
        <f t="shared" si="47"/>
        <v>262890</v>
      </c>
    </row>
    <row r="573" spans="1:6" s="13" customFormat="1" ht="75" hidden="1" customHeight="1" x14ac:dyDescent="0.3">
      <c r="A573" s="1669" t="s">
        <v>1117</v>
      </c>
      <c r="B573" s="891"/>
      <c r="C573" s="986"/>
      <c r="D573" s="986"/>
      <c r="E573" s="987"/>
      <c r="F573" s="893">
        <f t="shared" si="47"/>
        <v>0</v>
      </c>
    </row>
    <row r="574" spans="1:6" s="13" customFormat="1" ht="18.75" hidden="1" x14ac:dyDescent="0.3">
      <c r="A574" s="1667"/>
      <c r="B574" s="85"/>
      <c r="C574" s="986"/>
      <c r="D574" s="986"/>
      <c r="E574" s="992"/>
      <c r="F574" s="893">
        <f t="shared" si="47"/>
        <v>0</v>
      </c>
    </row>
    <row r="575" spans="1:6" s="13" customFormat="1" ht="18.75" hidden="1" x14ac:dyDescent="0.3">
      <c r="A575" s="1667"/>
      <c r="B575" s="891"/>
      <c r="C575" s="986"/>
      <c r="D575" s="987"/>
      <c r="E575" s="990"/>
      <c r="F575" s="893">
        <f t="shared" si="47"/>
        <v>0</v>
      </c>
    </row>
    <row r="576" spans="1:6" ht="56.25" x14ac:dyDescent="0.3">
      <c r="A576" s="1667"/>
      <c r="B576" s="862" t="s">
        <v>1748</v>
      </c>
      <c r="C576" s="1457">
        <v>100000</v>
      </c>
      <c r="D576" s="1457"/>
      <c r="E576" s="1457">
        <v>100000</v>
      </c>
      <c r="F576" s="1525">
        <f t="shared" si="47"/>
        <v>100000</v>
      </c>
    </row>
    <row r="577" spans="1:6" ht="75" x14ac:dyDescent="0.3">
      <c r="A577" s="1667"/>
      <c r="B577" s="862" t="s">
        <v>1749</v>
      </c>
      <c r="C577" s="1457">
        <v>100000</v>
      </c>
      <c r="D577" s="1457"/>
      <c r="E577" s="1457">
        <v>100000</v>
      </c>
      <c r="F577" s="1525">
        <f t="shared" si="47"/>
        <v>100000</v>
      </c>
    </row>
    <row r="578" spans="1:6" ht="168.75" x14ac:dyDescent="0.3">
      <c r="A578" s="1667"/>
      <c r="B578" s="862" t="s">
        <v>1750</v>
      </c>
      <c r="C578" s="1457">
        <v>91900</v>
      </c>
      <c r="D578" s="1457">
        <v>41900</v>
      </c>
      <c r="E578" s="1457">
        <v>50000</v>
      </c>
      <c r="F578" s="1525">
        <f t="shared" si="47"/>
        <v>91900</v>
      </c>
    </row>
    <row r="579" spans="1:6" s="13" customFormat="1" ht="18.75" hidden="1" customHeight="1" x14ac:dyDescent="0.3">
      <c r="A579" s="1667"/>
      <c r="B579" s="891"/>
      <c r="C579" s="986">
        <f>SUM(D579:E579)</f>
        <v>0</v>
      </c>
      <c r="D579" s="986"/>
      <c r="E579" s="990"/>
      <c r="F579" s="893">
        <f t="shared" si="47"/>
        <v>0</v>
      </c>
    </row>
    <row r="580" spans="1:6" s="13" customFormat="1" ht="18.75" hidden="1" customHeight="1" x14ac:dyDescent="0.3">
      <c r="A580" s="1667"/>
      <c r="B580" s="891"/>
      <c r="C580" s="986">
        <f>SUM(D580:E580)</f>
        <v>0</v>
      </c>
      <c r="D580" s="986"/>
      <c r="E580" s="990"/>
      <c r="F580" s="893">
        <f t="shared" si="47"/>
        <v>0</v>
      </c>
    </row>
    <row r="581" spans="1:6" s="13" customFormat="1" ht="18.75" hidden="1" customHeight="1" x14ac:dyDescent="0.3">
      <c r="A581" s="1667"/>
      <c r="B581" s="891"/>
      <c r="C581" s="986">
        <f>SUM(D581:E581)</f>
        <v>0</v>
      </c>
      <c r="D581" s="986"/>
      <c r="E581" s="990"/>
      <c r="F581" s="893">
        <f t="shared" si="47"/>
        <v>0</v>
      </c>
    </row>
    <row r="582" spans="1:6" s="13" customFormat="1" ht="18.75" hidden="1" customHeight="1" x14ac:dyDescent="0.3">
      <c r="A582" s="1667"/>
      <c r="B582" s="891"/>
      <c r="C582" s="986">
        <f>SUM(D582:E582)</f>
        <v>0</v>
      </c>
      <c r="D582" s="986"/>
      <c r="E582" s="990"/>
      <c r="F582" s="893">
        <f t="shared" si="47"/>
        <v>0</v>
      </c>
    </row>
    <row r="583" spans="1:6" ht="18.75" x14ac:dyDescent="0.3">
      <c r="A583" s="1673"/>
      <c r="B583" s="862" t="s">
        <v>740</v>
      </c>
      <c r="C583" s="1438">
        <f>SUM(C573:C582)</f>
        <v>291900</v>
      </c>
      <c r="D583" s="1438">
        <f>SUM(D573:D582)</f>
        <v>41900</v>
      </c>
      <c r="E583" s="1438">
        <f>SUM(E573:E582)</f>
        <v>250000</v>
      </c>
      <c r="F583" s="1525">
        <f t="shared" si="47"/>
        <v>291900</v>
      </c>
    </row>
    <row r="584" spans="1:6" s="13" customFormat="1" ht="75" hidden="1" x14ac:dyDescent="0.3">
      <c r="A584" s="972" t="s">
        <v>1119</v>
      </c>
      <c r="B584" s="891"/>
      <c r="C584" s="986">
        <f>SUM(D584:E584)</f>
        <v>0</v>
      </c>
      <c r="D584" s="986"/>
      <c r="E584" s="990"/>
      <c r="F584" s="893">
        <f t="shared" si="47"/>
        <v>0</v>
      </c>
    </row>
    <row r="585" spans="1:6" s="13" customFormat="1" ht="18.75" hidden="1" x14ac:dyDescent="0.3">
      <c r="A585" s="973"/>
      <c r="B585" s="891"/>
      <c r="C585" s="986">
        <f t="shared" ref="C585:C593" si="50">SUM(D585:E585)</f>
        <v>0</v>
      </c>
      <c r="D585" s="986"/>
      <c r="E585" s="990"/>
      <c r="F585" s="893">
        <f t="shared" si="47"/>
        <v>0</v>
      </c>
    </row>
    <row r="586" spans="1:6" s="13" customFormat="1" ht="18.75" hidden="1" x14ac:dyDescent="0.3">
      <c r="A586" s="973"/>
      <c r="B586" s="891"/>
      <c r="C586" s="986">
        <f t="shared" si="50"/>
        <v>0</v>
      </c>
      <c r="D586" s="986"/>
      <c r="E586" s="990"/>
      <c r="F586" s="893">
        <f t="shared" si="47"/>
        <v>0</v>
      </c>
    </row>
    <row r="587" spans="1:6" s="13" customFormat="1" ht="18.75" hidden="1" x14ac:dyDescent="0.3">
      <c r="A587" s="973"/>
      <c r="B587" s="891"/>
      <c r="C587" s="986">
        <f t="shared" si="50"/>
        <v>0</v>
      </c>
      <c r="D587" s="986"/>
      <c r="E587" s="990"/>
      <c r="F587" s="893">
        <f t="shared" si="47"/>
        <v>0</v>
      </c>
    </row>
    <row r="588" spans="1:6" s="13" customFormat="1" ht="18.75" hidden="1" x14ac:dyDescent="0.3">
      <c r="A588" s="973"/>
      <c r="B588" s="891"/>
      <c r="C588" s="986">
        <f t="shared" si="50"/>
        <v>0</v>
      </c>
      <c r="D588" s="986"/>
      <c r="E588" s="990"/>
      <c r="F588" s="893">
        <f t="shared" ref="F588:F651" si="51">C588</f>
        <v>0</v>
      </c>
    </row>
    <row r="589" spans="1:6" s="13" customFormat="1" ht="18.75" hidden="1" x14ac:dyDescent="0.3">
      <c r="A589" s="973"/>
      <c r="B589" s="891"/>
      <c r="C589" s="986">
        <f t="shared" si="50"/>
        <v>0</v>
      </c>
      <c r="D589" s="986"/>
      <c r="E589" s="990"/>
      <c r="F589" s="893">
        <f t="shared" si="51"/>
        <v>0</v>
      </c>
    </row>
    <row r="590" spans="1:6" s="13" customFormat="1" ht="18.75" hidden="1" x14ac:dyDescent="0.3">
      <c r="A590" s="973"/>
      <c r="B590" s="891"/>
      <c r="C590" s="986">
        <f t="shared" si="50"/>
        <v>0</v>
      </c>
      <c r="D590" s="986"/>
      <c r="E590" s="990"/>
      <c r="F590" s="893">
        <f t="shared" si="51"/>
        <v>0</v>
      </c>
    </row>
    <row r="591" spans="1:6" s="13" customFormat="1" ht="18.75" hidden="1" x14ac:dyDescent="0.3">
      <c r="A591" s="973"/>
      <c r="B591" s="891"/>
      <c r="C591" s="986">
        <f t="shared" si="50"/>
        <v>0</v>
      </c>
      <c r="D591" s="986"/>
      <c r="E591" s="990"/>
      <c r="F591" s="893">
        <f t="shared" si="51"/>
        <v>0</v>
      </c>
    </row>
    <row r="592" spans="1:6" s="13" customFormat="1" ht="18.75" hidden="1" x14ac:dyDescent="0.3">
      <c r="A592" s="973"/>
      <c r="B592" s="891"/>
      <c r="C592" s="986">
        <f t="shared" si="50"/>
        <v>0</v>
      </c>
      <c r="D592" s="986"/>
      <c r="E592" s="990"/>
      <c r="F592" s="893">
        <f t="shared" si="51"/>
        <v>0</v>
      </c>
    </row>
    <row r="593" spans="1:6" s="13" customFormat="1" ht="18.75" hidden="1" x14ac:dyDescent="0.3">
      <c r="A593" s="973"/>
      <c r="B593" s="891"/>
      <c r="C593" s="986">
        <f t="shared" si="50"/>
        <v>0</v>
      </c>
      <c r="D593" s="986"/>
      <c r="E593" s="990"/>
      <c r="F593" s="893">
        <f t="shared" si="51"/>
        <v>0</v>
      </c>
    </row>
    <row r="594" spans="1:6" s="13" customFormat="1" ht="18.75" hidden="1" x14ac:dyDescent="0.3">
      <c r="A594" s="974"/>
      <c r="B594" s="891" t="s">
        <v>740</v>
      </c>
      <c r="C594" s="986">
        <f>SUM(C584:C593)</f>
        <v>0</v>
      </c>
      <c r="D594" s="986">
        <f>SUM(D584:D593)</f>
        <v>0</v>
      </c>
      <c r="E594" s="986">
        <f>SUM(E584:E593)</f>
        <v>0</v>
      </c>
      <c r="F594" s="893">
        <f t="shared" si="51"/>
        <v>0</v>
      </c>
    </row>
    <row r="595" spans="1:6" s="13" customFormat="1" ht="93.75" hidden="1" x14ac:dyDescent="0.3">
      <c r="A595" s="972" t="s">
        <v>1121</v>
      </c>
      <c r="B595" s="891"/>
      <c r="C595" s="986">
        <f>SUM(D595:E595)</f>
        <v>0</v>
      </c>
      <c r="D595" s="986"/>
      <c r="E595" s="990"/>
      <c r="F595" s="893">
        <f t="shared" si="51"/>
        <v>0</v>
      </c>
    </row>
    <row r="596" spans="1:6" s="13" customFormat="1" ht="18.75" hidden="1" x14ac:dyDescent="0.3">
      <c r="A596" s="973"/>
      <c r="B596" s="891"/>
      <c r="C596" s="986">
        <f t="shared" ref="C596:C604" si="52">SUM(D596:E596)</f>
        <v>0</v>
      </c>
      <c r="D596" s="986"/>
      <c r="E596" s="990"/>
      <c r="F596" s="893">
        <f t="shared" si="51"/>
        <v>0</v>
      </c>
    </row>
    <row r="597" spans="1:6" s="13" customFormat="1" ht="18.75" hidden="1" x14ac:dyDescent="0.3">
      <c r="A597" s="973"/>
      <c r="B597" s="891"/>
      <c r="C597" s="986">
        <f t="shared" si="52"/>
        <v>0</v>
      </c>
      <c r="D597" s="986"/>
      <c r="E597" s="990"/>
      <c r="F597" s="893">
        <f t="shared" si="51"/>
        <v>0</v>
      </c>
    </row>
    <row r="598" spans="1:6" s="13" customFormat="1" ht="18.75" hidden="1" x14ac:dyDescent="0.3">
      <c r="A598" s="973"/>
      <c r="B598" s="891"/>
      <c r="C598" s="986">
        <f t="shared" si="52"/>
        <v>0</v>
      </c>
      <c r="D598" s="986"/>
      <c r="E598" s="990"/>
      <c r="F598" s="893">
        <f t="shared" si="51"/>
        <v>0</v>
      </c>
    </row>
    <row r="599" spans="1:6" s="13" customFormat="1" ht="18.75" hidden="1" x14ac:dyDescent="0.3">
      <c r="A599" s="973"/>
      <c r="B599" s="891"/>
      <c r="C599" s="986">
        <f t="shared" si="52"/>
        <v>0</v>
      </c>
      <c r="D599" s="986"/>
      <c r="E599" s="990"/>
      <c r="F599" s="893">
        <f t="shared" si="51"/>
        <v>0</v>
      </c>
    </row>
    <row r="600" spans="1:6" s="13" customFormat="1" ht="18.75" hidden="1" x14ac:dyDescent="0.3">
      <c r="A600" s="973"/>
      <c r="B600" s="891"/>
      <c r="C600" s="986">
        <f t="shared" si="52"/>
        <v>0</v>
      </c>
      <c r="D600" s="986"/>
      <c r="E600" s="990"/>
      <c r="F600" s="893">
        <f t="shared" si="51"/>
        <v>0</v>
      </c>
    </row>
    <row r="601" spans="1:6" s="13" customFormat="1" ht="18.75" hidden="1" x14ac:dyDescent="0.3">
      <c r="A601" s="973"/>
      <c r="B601" s="891"/>
      <c r="C601" s="986">
        <f t="shared" si="52"/>
        <v>0</v>
      </c>
      <c r="D601" s="986"/>
      <c r="E601" s="990"/>
      <c r="F601" s="893">
        <f t="shared" si="51"/>
        <v>0</v>
      </c>
    </row>
    <row r="602" spans="1:6" s="13" customFormat="1" ht="18.75" hidden="1" x14ac:dyDescent="0.3">
      <c r="A602" s="973"/>
      <c r="B602" s="891"/>
      <c r="C602" s="986">
        <f t="shared" si="52"/>
        <v>0</v>
      </c>
      <c r="D602" s="986"/>
      <c r="E602" s="990"/>
      <c r="F602" s="893">
        <f t="shared" si="51"/>
        <v>0</v>
      </c>
    </row>
    <row r="603" spans="1:6" s="13" customFormat="1" ht="18.75" hidden="1" x14ac:dyDescent="0.3">
      <c r="A603" s="973"/>
      <c r="B603" s="891"/>
      <c r="C603" s="986">
        <f t="shared" si="52"/>
        <v>0</v>
      </c>
      <c r="D603" s="986"/>
      <c r="E603" s="990"/>
      <c r="F603" s="893">
        <f t="shared" si="51"/>
        <v>0</v>
      </c>
    </row>
    <row r="604" spans="1:6" s="13" customFormat="1" ht="18.75" hidden="1" x14ac:dyDescent="0.3">
      <c r="A604" s="973"/>
      <c r="B604" s="891"/>
      <c r="C604" s="986">
        <f t="shared" si="52"/>
        <v>0</v>
      </c>
      <c r="D604" s="986"/>
      <c r="E604" s="990"/>
      <c r="F604" s="893">
        <f t="shared" si="51"/>
        <v>0</v>
      </c>
    </row>
    <row r="605" spans="1:6" s="13" customFormat="1" ht="18.75" hidden="1" x14ac:dyDescent="0.3">
      <c r="A605" s="974"/>
      <c r="B605" s="891" t="s">
        <v>740</v>
      </c>
      <c r="C605" s="986">
        <f>SUM(C595:C604)</f>
        <v>0</v>
      </c>
      <c r="D605" s="986">
        <f>SUM(D595:D604)</f>
        <v>0</v>
      </c>
      <c r="E605" s="986">
        <f>SUM(E595:E604)</f>
        <v>0</v>
      </c>
      <c r="F605" s="893">
        <f t="shared" si="51"/>
        <v>0</v>
      </c>
    </row>
    <row r="606" spans="1:6" s="13" customFormat="1" ht="93.75" hidden="1" x14ac:dyDescent="0.3">
      <c r="A606" s="972" t="s">
        <v>1123</v>
      </c>
      <c r="B606" s="891"/>
      <c r="C606" s="986">
        <f>SUM(D606:E606)</f>
        <v>0</v>
      </c>
      <c r="D606" s="986"/>
      <c r="E606" s="990"/>
      <c r="F606" s="893">
        <f t="shared" si="51"/>
        <v>0</v>
      </c>
    </row>
    <row r="607" spans="1:6" s="13" customFormat="1" ht="18.75" hidden="1" x14ac:dyDescent="0.3">
      <c r="A607" s="973"/>
      <c r="B607" s="891"/>
      <c r="C607" s="986">
        <f t="shared" ref="C607:C615" si="53">SUM(D607:E607)</f>
        <v>0</v>
      </c>
      <c r="D607" s="986"/>
      <c r="E607" s="990"/>
      <c r="F607" s="893">
        <f t="shared" si="51"/>
        <v>0</v>
      </c>
    </row>
    <row r="608" spans="1:6" s="13" customFormat="1" ht="18.75" hidden="1" x14ac:dyDescent="0.3">
      <c r="A608" s="973"/>
      <c r="B608" s="891"/>
      <c r="C608" s="986">
        <f t="shared" si="53"/>
        <v>0</v>
      </c>
      <c r="D608" s="986"/>
      <c r="E608" s="990"/>
      <c r="F608" s="893">
        <f t="shared" si="51"/>
        <v>0</v>
      </c>
    </row>
    <row r="609" spans="1:6" s="13" customFormat="1" ht="18.75" hidden="1" x14ac:dyDescent="0.3">
      <c r="A609" s="973"/>
      <c r="B609" s="891"/>
      <c r="C609" s="986">
        <f t="shared" si="53"/>
        <v>0</v>
      </c>
      <c r="D609" s="986"/>
      <c r="E609" s="990"/>
      <c r="F609" s="893">
        <f t="shared" si="51"/>
        <v>0</v>
      </c>
    </row>
    <row r="610" spans="1:6" s="13" customFormat="1" ht="18.75" hidden="1" x14ac:dyDescent="0.3">
      <c r="A610" s="973"/>
      <c r="B610" s="891"/>
      <c r="C610" s="986">
        <f t="shared" si="53"/>
        <v>0</v>
      </c>
      <c r="D610" s="986"/>
      <c r="E610" s="990"/>
      <c r="F610" s="893">
        <f t="shared" si="51"/>
        <v>0</v>
      </c>
    </row>
    <row r="611" spans="1:6" s="13" customFormat="1" ht="18.75" hidden="1" x14ac:dyDescent="0.3">
      <c r="A611" s="973"/>
      <c r="B611" s="891"/>
      <c r="C611" s="986">
        <f t="shared" si="53"/>
        <v>0</v>
      </c>
      <c r="D611" s="986"/>
      <c r="E611" s="990"/>
      <c r="F611" s="893">
        <f t="shared" si="51"/>
        <v>0</v>
      </c>
    </row>
    <row r="612" spans="1:6" s="13" customFormat="1" ht="18.75" hidden="1" x14ac:dyDescent="0.3">
      <c r="A612" s="973"/>
      <c r="B612" s="891"/>
      <c r="C612" s="986">
        <f t="shared" si="53"/>
        <v>0</v>
      </c>
      <c r="D612" s="986"/>
      <c r="E612" s="990"/>
      <c r="F612" s="893">
        <f t="shared" si="51"/>
        <v>0</v>
      </c>
    </row>
    <row r="613" spans="1:6" s="13" customFormat="1" ht="18.75" hidden="1" x14ac:dyDescent="0.3">
      <c r="A613" s="973"/>
      <c r="B613" s="891"/>
      <c r="C613" s="986">
        <f t="shared" si="53"/>
        <v>0</v>
      </c>
      <c r="D613" s="986"/>
      <c r="E613" s="990"/>
      <c r="F613" s="893">
        <f t="shared" si="51"/>
        <v>0</v>
      </c>
    </row>
    <row r="614" spans="1:6" s="13" customFormat="1" ht="18.75" hidden="1" x14ac:dyDescent="0.3">
      <c r="A614" s="973"/>
      <c r="B614" s="891"/>
      <c r="C614" s="986">
        <f t="shared" si="53"/>
        <v>0</v>
      </c>
      <c r="D614" s="986"/>
      <c r="E614" s="990"/>
      <c r="F614" s="893">
        <f t="shared" si="51"/>
        <v>0</v>
      </c>
    </row>
    <row r="615" spans="1:6" s="13" customFormat="1" ht="18.75" hidden="1" x14ac:dyDescent="0.3">
      <c r="A615" s="973"/>
      <c r="B615" s="891"/>
      <c r="C615" s="986">
        <f t="shared" si="53"/>
        <v>0</v>
      </c>
      <c r="D615" s="986"/>
      <c r="E615" s="990"/>
      <c r="F615" s="893">
        <f t="shared" si="51"/>
        <v>0</v>
      </c>
    </row>
    <row r="616" spans="1:6" s="13" customFormat="1" ht="18.75" hidden="1" x14ac:dyDescent="0.3">
      <c r="A616" s="974"/>
      <c r="B616" s="891" t="s">
        <v>740</v>
      </c>
      <c r="C616" s="986">
        <f>SUM(C606:C615)</f>
        <v>0</v>
      </c>
      <c r="D616" s="986">
        <f>SUM(D606:D615)</f>
        <v>0</v>
      </c>
      <c r="E616" s="986">
        <f>SUM(E606:E615)</f>
        <v>0</v>
      </c>
      <c r="F616" s="893">
        <f t="shared" si="51"/>
        <v>0</v>
      </c>
    </row>
    <row r="617" spans="1:6" s="13" customFormat="1" ht="93.75" hidden="1" x14ac:dyDescent="0.3">
      <c r="A617" s="972" t="s">
        <v>1125</v>
      </c>
      <c r="B617" s="891"/>
      <c r="C617" s="986">
        <f>SUM(D617:E617)</f>
        <v>0</v>
      </c>
      <c r="D617" s="986"/>
      <c r="E617" s="990"/>
      <c r="F617" s="893">
        <f t="shared" si="51"/>
        <v>0</v>
      </c>
    </row>
    <row r="618" spans="1:6" s="13" customFormat="1" ht="18.75" hidden="1" x14ac:dyDescent="0.3">
      <c r="A618" s="973"/>
      <c r="B618" s="891"/>
      <c r="C618" s="986">
        <f t="shared" ref="C618:C626" si="54">SUM(D618:E618)</f>
        <v>0</v>
      </c>
      <c r="D618" s="986"/>
      <c r="E618" s="990"/>
      <c r="F618" s="893">
        <f t="shared" si="51"/>
        <v>0</v>
      </c>
    </row>
    <row r="619" spans="1:6" s="13" customFormat="1" ht="18.75" hidden="1" x14ac:dyDescent="0.3">
      <c r="A619" s="973"/>
      <c r="B619" s="891"/>
      <c r="C619" s="986">
        <f t="shared" si="54"/>
        <v>0</v>
      </c>
      <c r="D619" s="986"/>
      <c r="E619" s="990"/>
      <c r="F619" s="893">
        <f t="shared" si="51"/>
        <v>0</v>
      </c>
    </row>
    <row r="620" spans="1:6" s="13" customFormat="1" ht="18.75" hidden="1" x14ac:dyDescent="0.3">
      <c r="A620" s="973"/>
      <c r="B620" s="891"/>
      <c r="C620" s="986">
        <f t="shared" si="54"/>
        <v>0</v>
      </c>
      <c r="D620" s="986"/>
      <c r="E620" s="990"/>
      <c r="F620" s="893">
        <f t="shared" si="51"/>
        <v>0</v>
      </c>
    </row>
    <row r="621" spans="1:6" s="13" customFormat="1" ht="18.75" hidden="1" x14ac:dyDescent="0.3">
      <c r="A621" s="973"/>
      <c r="B621" s="891"/>
      <c r="C621" s="986">
        <f t="shared" si="54"/>
        <v>0</v>
      </c>
      <c r="D621" s="986"/>
      <c r="E621" s="990"/>
      <c r="F621" s="893">
        <f t="shared" si="51"/>
        <v>0</v>
      </c>
    </row>
    <row r="622" spans="1:6" s="13" customFormat="1" ht="18.75" hidden="1" x14ac:dyDescent="0.3">
      <c r="A622" s="973"/>
      <c r="B622" s="891"/>
      <c r="C622" s="986">
        <f t="shared" si="54"/>
        <v>0</v>
      </c>
      <c r="D622" s="986"/>
      <c r="E622" s="990"/>
      <c r="F622" s="893">
        <f t="shared" si="51"/>
        <v>0</v>
      </c>
    </row>
    <row r="623" spans="1:6" s="13" customFormat="1" ht="18.75" hidden="1" x14ac:dyDescent="0.3">
      <c r="A623" s="973"/>
      <c r="B623" s="891"/>
      <c r="C623" s="986">
        <f t="shared" si="54"/>
        <v>0</v>
      </c>
      <c r="D623" s="986"/>
      <c r="E623" s="990"/>
      <c r="F623" s="893">
        <f t="shared" si="51"/>
        <v>0</v>
      </c>
    </row>
    <row r="624" spans="1:6" s="13" customFormat="1" ht="18.75" hidden="1" x14ac:dyDescent="0.3">
      <c r="A624" s="973"/>
      <c r="B624" s="891"/>
      <c r="C624" s="986">
        <f t="shared" si="54"/>
        <v>0</v>
      </c>
      <c r="D624" s="986"/>
      <c r="E624" s="990"/>
      <c r="F624" s="893">
        <f t="shared" si="51"/>
        <v>0</v>
      </c>
    </row>
    <row r="625" spans="1:6" s="13" customFormat="1" ht="18.75" hidden="1" x14ac:dyDescent="0.3">
      <c r="A625" s="973"/>
      <c r="B625" s="891"/>
      <c r="C625" s="986">
        <f t="shared" si="54"/>
        <v>0</v>
      </c>
      <c r="D625" s="986"/>
      <c r="E625" s="990"/>
      <c r="F625" s="893">
        <f t="shared" si="51"/>
        <v>0</v>
      </c>
    </row>
    <row r="626" spans="1:6" s="13" customFormat="1" ht="18.75" hidden="1" x14ac:dyDescent="0.3">
      <c r="A626" s="973"/>
      <c r="B626" s="891"/>
      <c r="C626" s="986">
        <f t="shared" si="54"/>
        <v>0</v>
      </c>
      <c r="D626" s="986"/>
      <c r="E626" s="990"/>
      <c r="F626" s="893">
        <f t="shared" si="51"/>
        <v>0</v>
      </c>
    </row>
    <row r="627" spans="1:6" s="13" customFormat="1" ht="18.75" hidden="1" x14ac:dyDescent="0.3">
      <c r="A627" s="974"/>
      <c r="B627" s="891" t="s">
        <v>740</v>
      </c>
      <c r="C627" s="986">
        <f>SUM(C617:C626)</f>
        <v>0</v>
      </c>
      <c r="D627" s="986">
        <f>SUM(D617:D626)</f>
        <v>0</v>
      </c>
      <c r="E627" s="986">
        <f>SUM(E617:E626)</f>
        <v>0</v>
      </c>
      <c r="F627" s="893">
        <f t="shared" si="51"/>
        <v>0</v>
      </c>
    </row>
    <row r="628" spans="1:6" ht="93.75" customHeight="1" x14ac:dyDescent="0.3">
      <c r="A628" s="1855" t="s">
        <v>1127</v>
      </c>
      <c r="B628" s="862" t="s">
        <v>1783</v>
      </c>
      <c r="C628" s="1438">
        <f>SUM(D628:E628)</f>
        <v>20000</v>
      </c>
      <c r="D628" s="1457"/>
      <c r="E628" s="1457">
        <v>20000</v>
      </c>
      <c r="F628" s="1525">
        <f t="shared" si="51"/>
        <v>20000</v>
      </c>
    </row>
    <row r="629" spans="1:6" ht="93.75" x14ac:dyDescent="0.3">
      <c r="A629" s="1856"/>
      <c r="B629" s="862" t="s">
        <v>1784</v>
      </c>
      <c r="C629" s="1438">
        <f>SUM(D629:E629)</f>
        <v>7000</v>
      </c>
      <c r="D629" s="1457">
        <v>7000</v>
      </c>
      <c r="E629" s="1457"/>
      <c r="F629" s="1525">
        <f t="shared" si="51"/>
        <v>7000</v>
      </c>
    </row>
    <row r="630" spans="1:6" ht="56.25" x14ac:dyDescent="0.3">
      <c r="A630" s="1856"/>
      <c r="B630" s="506" t="s">
        <v>1903</v>
      </c>
      <c r="C630" s="1457">
        <v>70000</v>
      </c>
      <c r="D630" s="1457">
        <v>70000</v>
      </c>
      <c r="E630" s="1457"/>
      <c r="F630" s="1525">
        <f t="shared" si="51"/>
        <v>70000</v>
      </c>
    </row>
    <row r="631" spans="1:6" ht="93.75" x14ac:dyDescent="0.3">
      <c r="A631" s="1856"/>
      <c r="B631" s="862" t="s">
        <v>1751</v>
      </c>
      <c r="C631" s="1457">
        <v>30000</v>
      </c>
      <c r="D631" s="1457">
        <v>30000</v>
      </c>
      <c r="E631" s="1457"/>
      <c r="F631" s="1525">
        <f t="shared" si="51"/>
        <v>30000</v>
      </c>
    </row>
    <row r="632" spans="1:6" ht="318.75" x14ac:dyDescent="0.3">
      <c r="A632" s="1856"/>
      <c r="B632" s="506" t="s">
        <v>1465</v>
      </c>
      <c r="C632" s="1457">
        <v>331525</v>
      </c>
      <c r="D632" s="1457"/>
      <c r="E632" s="1457">
        <v>331525</v>
      </c>
      <c r="F632" s="1525">
        <f t="shared" si="51"/>
        <v>331525</v>
      </c>
    </row>
    <row r="633" spans="1:6" s="13" customFormat="1" ht="18.75" hidden="1" customHeight="1" x14ac:dyDescent="0.3">
      <c r="A633" s="1667"/>
      <c r="B633" s="85"/>
      <c r="C633" s="986"/>
      <c r="D633" s="986"/>
      <c r="E633" s="990"/>
      <c r="F633" s="893">
        <f t="shared" si="51"/>
        <v>0</v>
      </c>
    </row>
    <row r="634" spans="1:6" s="13" customFormat="1" ht="18.75" hidden="1" customHeight="1" x14ac:dyDescent="0.3">
      <c r="A634" s="1667"/>
      <c r="B634" s="85"/>
      <c r="C634" s="986"/>
      <c r="D634" s="992"/>
      <c r="E634" s="992"/>
      <c r="F634" s="893">
        <f t="shared" si="51"/>
        <v>0</v>
      </c>
    </row>
    <row r="635" spans="1:6" s="13" customFormat="1" ht="18.75" hidden="1" customHeight="1" x14ac:dyDescent="0.3">
      <c r="A635" s="1667"/>
      <c r="B635" s="85"/>
      <c r="C635" s="987"/>
      <c r="D635" s="987"/>
      <c r="E635" s="987"/>
      <c r="F635" s="893">
        <f t="shared" si="51"/>
        <v>0</v>
      </c>
    </row>
    <row r="636" spans="1:6" s="13" customFormat="1" ht="18.75" hidden="1" customHeight="1" x14ac:dyDescent="0.3">
      <c r="A636" s="1667"/>
      <c r="B636" s="85"/>
      <c r="C636" s="987"/>
      <c r="D636" s="987"/>
      <c r="E636" s="987"/>
      <c r="F636" s="893">
        <f t="shared" si="51"/>
        <v>0</v>
      </c>
    </row>
    <row r="637" spans="1:6" s="13" customFormat="1" ht="18.75" hidden="1" customHeight="1" x14ac:dyDescent="0.3">
      <c r="A637" s="1667"/>
      <c r="B637" s="85"/>
      <c r="C637" s="987"/>
      <c r="D637" s="987"/>
      <c r="E637" s="987"/>
      <c r="F637" s="893">
        <f t="shared" si="51"/>
        <v>0</v>
      </c>
    </row>
    <row r="638" spans="1:6" s="13" customFormat="1" ht="18.75" hidden="1" customHeight="1" x14ac:dyDescent="0.3">
      <c r="A638" s="1667"/>
      <c r="B638" s="85"/>
      <c r="C638" s="987"/>
      <c r="D638" s="987"/>
      <c r="E638" s="987"/>
      <c r="F638" s="893">
        <f t="shared" si="51"/>
        <v>0</v>
      </c>
    </row>
    <row r="639" spans="1:6" ht="18.75" x14ac:dyDescent="0.3">
      <c r="A639" s="1857"/>
      <c r="B639" s="862" t="s">
        <v>740</v>
      </c>
      <c r="C639" s="1438">
        <f>SUM(C628:C638)</f>
        <v>458525</v>
      </c>
      <c r="D639" s="1438">
        <f>SUM(D628:D638)</f>
        <v>107000</v>
      </c>
      <c r="E639" s="1438">
        <f>SUM(E628:E638)</f>
        <v>351525</v>
      </c>
      <c r="F639" s="1525">
        <f t="shared" si="51"/>
        <v>458525</v>
      </c>
    </row>
    <row r="640" spans="1:6" s="13" customFormat="1" ht="75" hidden="1" customHeight="1" x14ac:dyDescent="0.3">
      <c r="A640" s="1669" t="s">
        <v>1129</v>
      </c>
      <c r="B640" s="85"/>
      <c r="C640" s="986"/>
      <c r="D640" s="986"/>
      <c r="E640" s="990"/>
      <c r="F640" s="893">
        <f t="shared" si="51"/>
        <v>0</v>
      </c>
    </row>
    <row r="641" spans="1:6" ht="49.15" customHeight="1" x14ac:dyDescent="0.3">
      <c r="A641" s="1667"/>
      <c r="B641" s="862" t="s">
        <v>1752</v>
      </c>
      <c r="C641" s="1438">
        <f t="shared" ref="C641:C649" si="55">SUM(D641:E641)</f>
        <v>30000</v>
      </c>
      <c r="D641" s="1438">
        <v>30000</v>
      </c>
      <c r="E641" s="1438"/>
      <c r="F641" s="1525">
        <f t="shared" si="51"/>
        <v>30000</v>
      </c>
    </row>
    <row r="642" spans="1:6" s="13" customFormat="1" ht="18.75" hidden="1" customHeight="1" x14ac:dyDescent="0.3">
      <c r="A642" s="1667"/>
      <c r="B642" s="891"/>
      <c r="C642" s="986">
        <f t="shared" si="55"/>
        <v>0</v>
      </c>
      <c r="D642" s="986"/>
      <c r="E642" s="990"/>
      <c r="F642" s="893">
        <f t="shared" si="51"/>
        <v>0</v>
      </c>
    </row>
    <row r="643" spans="1:6" s="13" customFormat="1" ht="18.75" hidden="1" customHeight="1" x14ac:dyDescent="0.3">
      <c r="A643" s="1667"/>
      <c r="B643" s="891"/>
      <c r="C643" s="986">
        <f t="shared" si="55"/>
        <v>0</v>
      </c>
      <c r="D643" s="986"/>
      <c r="E643" s="990"/>
      <c r="F643" s="893">
        <f t="shared" si="51"/>
        <v>0</v>
      </c>
    </row>
    <row r="644" spans="1:6" s="13" customFormat="1" ht="18.75" hidden="1" customHeight="1" x14ac:dyDescent="0.3">
      <c r="A644" s="1667"/>
      <c r="B644" s="891"/>
      <c r="C644" s="986">
        <f t="shared" si="55"/>
        <v>0</v>
      </c>
      <c r="D644" s="986"/>
      <c r="E644" s="990"/>
      <c r="F644" s="893">
        <f t="shared" si="51"/>
        <v>0</v>
      </c>
    </row>
    <row r="645" spans="1:6" s="13" customFormat="1" ht="18.75" hidden="1" customHeight="1" x14ac:dyDescent="0.3">
      <c r="A645" s="1667"/>
      <c r="B645" s="891"/>
      <c r="C645" s="986">
        <f t="shared" si="55"/>
        <v>0</v>
      </c>
      <c r="D645" s="986"/>
      <c r="E645" s="990"/>
      <c r="F645" s="893">
        <f t="shared" si="51"/>
        <v>0</v>
      </c>
    </row>
    <row r="646" spans="1:6" s="13" customFormat="1" ht="18.75" hidden="1" customHeight="1" x14ac:dyDescent="0.3">
      <c r="A646" s="1667"/>
      <c r="B646" s="891"/>
      <c r="C646" s="986">
        <f t="shared" si="55"/>
        <v>0</v>
      </c>
      <c r="D646" s="986"/>
      <c r="E646" s="990"/>
      <c r="F646" s="893">
        <f t="shared" si="51"/>
        <v>0</v>
      </c>
    </row>
    <row r="647" spans="1:6" s="13" customFormat="1" ht="18.75" hidden="1" customHeight="1" x14ac:dyDescent="0.3">
      <c r="A647" s="1667"/>
      <c r="B647" s="891"/>
      <c r="C647" s="986">
        <f t="shared" si="55"/>
        <v>0</v>
      </c>
      <c r="D647" s="986"/>
      <c r="E647" s="990"/>
      <c r="F647" s="893">
        <f t="shared" si="51"/>
        <v>0</v>
      </c>
    </row>
    <row r="648" spans="1:6" s="13" customFormat="1" ht="18.75" hidden="1" customHeight="1" x14ac:dyDescent="0.3">
      <c r="A648" s="1667"/>
      <c r="B648" s="891"/>
      <c r="C648" s="986">
        <f t="shared" si="55"/>
        <v>0</v>
      </c>
      <c r="D648" s="986"/>
      <c r="E648" s="990"/>
      <c r="F648" s="893">
        <f t="shared" si="51"/>
        <v>0</v>
      </c>
    </row>
    <row r="649" spans="1:6" s="13" customFormat="1" ht="18.75" hidden="1" customHeight="1" x14ac:dyDescent="0.3">
      <c r="A649" s="1667"/>
      <c r="B649" s="891"/>
      <c r="C649" s="986">
        <f t="shared" si="55"/>
        <v>0</v>
      </c>
      <c r="D649" s="986"/>
      <c r="E649" s="990"/>
      <c r="F649" s="893">
        <f t="shared" si="51"/>
        <v>0</v>
      </c>
    </row>
    <row r="650" spans="1:6" ht="18.75" x14ac:dyDescent="0.3">
      <c r="A650" s="1673"/>
      <c r="B650" s="862" t="s">
        <v>740</v>
      </c>
      <c r="C650" s="1438">
        <f>SUM(C640:C649)</f>
        <v>30000</v>
      </c>
      <c r="D650" s="1438">
        <f>SUM(D640:D649)</f>
        <v>30000</v>
      </c>
      <c r="E650" s="1438">
        <f>SUM(E640:E649)</f>
        <v>0</v>
      </c>
      <c r="F650" s="1525">
        <f t="shared" si="51"/>
        <v>30000</v>
      </c>
    </row>
    <row r="651" spans="1:6" s="13" customFormat="1" ht="75" hidden="1" x14ac:dyDescent="0.3">
      <c r="A651" s="972" t="s">
        <v>1131</v>
      </c>
      <c r="B651" s="891"/>
      <c r="C651" s="986">
        <f>SUM(D651:E651)</f>
        <v>0</v>
      </c>
      <c r="D651" s="986"/>
      <c r="E651" s="990"/>
      <c r="F651" s="893">
        <f t="shared" si="51"/>
        <v>0</v>
      </c>
    </row>
    <row r="652" spans="1:6" s="13" customFormat="1" ht="18.75" hidden="1" x14ac:dyDescent="0.3">
      <c r="A652" s="973"/>
      <c r="B652" s="891"/>
      <c r="C652" s="986">
        <f t="shared" ref="C652:C660" si="56">SUM(D652:E652)</f>
        <v>0</v>
      </c>
      <c r="D652" s="986"/>
      <c r="E652" s="990"/>
      <c r="F652" s="893">
        <f t="shared" ref="F652:F715" si="57">C652</f>
        <v>0</v>
      </c>
    </row>
    <row r="653" spans="1:6" s="13" customFormat="1" ht="18.75" hidden="1" x14ac:dyDescent="0.3">
      <c r="A653" s="973"/>
      <c r="B653" s="891"/>
      <c r="C653" s="986">
        <f t="shared" si="56"/>
        <v>0</v>
      </c>
      <c r="D653" s="986"/>
      <c r="E653" s="990"/>
      <c r="F653" s="893">
        <f t="shared" si="57"/>
        <v>0</v>
      </c>
    </row>
    <row r="654" spans="1:6" s="13" customFormat="1" ht="18.75" hidden="1" x14ac:dyDescent="0.3">
      <c r="A654" s="973"/>
      <c r="B654" s="891"/>
      <c r="C654" s="986">
        <f t="shared" si="56"/>
        <v>0</v>
      </c>
      <c r="D654" s="986"/>
      <c r="E654" s="990"/>
      <c r="F654" s="893">
        <f t="shared" si="57"/>
        <v>0</v>
      </c>
    </row>
    <row r="655" spans="1:6" s="13" customFormat="1" ht="18.75" hidden="1" x14ac:dyDescent="0.3">
      <c r="A655" s="973"/>
      <c r="B655" s="891"/>
      <c r="C655" s="986">
        <f t="shared" si="56"/>
        <v>0</v>
      </c>
      <c r="D655" s="986"/>
      <c r="E655" s="990"/>
      <c r="F655" s="893">
        <f t="shared" si="57"/>
        <v>0</v>
      </c>
    </row>
    <row r="656" spans="1:6" s="13" customFormat="1" ht="18.75" hidden="1" x14ac:dyDescent="0.3">
      <c r="A656" s="973"/>
      <c r="B656" s="891"/>
      <c r="C656" s="986">
        <f t="shared" si="56"/>
        <v>0</v>
      </c>
      <c r="D656" s="986"/>
      <c r="E656" s="990"/>
      <c r="F656" s="893">
        <f t="shared" si="57"/>
        <v>0</v>
      </c>
    </row>
    <row r="657" spans="1:6" s="13" customFormat="1" ht="18.75" hidden="1" x14ac:dyDescent="0.3">
      <c r="A657" s="973"/>
      <c r="B657" s="891"/>
      <c r="C657" s="986">
        <f t="shared" si="56"/>
        <v>0</v>
      </c>
      <c r="D657" s="986"/>
      <c r="E657" s="990"/>
      <c r="F657" s="893">
        <f t="shared" si="57"/>
        <v>0</v>
      </c>
    </row>
    <row r="658" spans="1:6" s="13" customFormat="1" ht="18.75" hidden="1" x14ac:dyDescent="0.3">
      <c r="A658" s="973"/>
      <c r="B658" s="891"/>
      <c r="C658" s="986">
        <f t="shared" si="56"/>
        <v>0</v>
      </c>
      <c r="D658" s="986"/>
      <c r="E658" s="990"/>
      <c r="F658" s="893">
        <f t="shared" si="57"/>
        <v>0</v>
      </c>
    </row>
    <row r="659" spans="1:6" s="13" customFormat="1" ht="18.75" hidden="1" x14ac:dyDescent="0.3">
      <c r="A659" s="973"/>
      <c r="B659" s="891"/>
      <c r="C659" s="986">
        <f t="shared" si="56"/>
        <v>0</v>
      </c>
      <c r="D659" s="986"/>
      <c r="E659" s="990"/>
      <c r="F659" s="893">
        <f t="shared" si="57"/>
        <v>0</v>
      </c>
    </row>
    <row r="660" spans="1:6" s="13" customFormat="1" ht="18.75" hidden="1" x14ac:dyDescent="0.3">
      <c r="A660" s="973"/>
      <c r="B660" s="891"/>
      <c r="C660" s="986">
        <f t="shared" si="56"/>
        <v>0</v>
      </c>
      <c r="D660" s="986"/>
      <c r="E660" s="990"/>
      <c r="F660" s="893">
        <f t="shared" si="57"/>
        <v>0</v>
      </c>
    </row>
    <row r="661" spans="1:6" s="13" customFormat="1" ht="18.75" hidden="1" x14ac:dyDescent="0.3">
      <c r="A661" s="974"/>
      <c r="B661" s="891" t="s">
        <v>740</v>
      </c>
      <c r="C661" s="986">
        <f>SUM(C651:C660)</f>
        <v>0</v>
      </c>
      <c r="D661" s="986">
        <f>SUM(D651:D660)</f>
        <v>0</v>
      </c>
      <c r="E661" s="986">
        <f>SUM(E651:E660)</f>
        <v>0</v>
      </c>
      <c r="F661" s="893">
        <f t="shared" si="57"/>
        <v>0</v>
      </c>
    </row>
    <row r="662" spans="1:6" s="13" customFormat="1" ht="93.75" hidden="1" x14ac:dyDescent="0.3">
      <c r="A662" s="972" t="s">
        <v>1133</v>
      </c>
      <c r="B662" s="891"/>
      <c r="C662" s="986">
        <f>SUM(D662:E662)</f>
        <v>0</v>
      </c>
      <c r="D662" s="986"/>
      <c r="E662" s="990"/>
      <c r="F662" s="893">
        <f t="shared" si="57"/>
        <v>0</v>
      </c>
    </row>
    <row r="663" spans="1:6" s="13" customFormat="1" ht="18.75" hidden="1" x14ac:dyDescent="0.3">
      <c r="A663" s="973"/>
      <c r="B663" s="891"/>
      <c r="C663" s="986">
        <f t="shared" ref="C663:C671" si="58">SUM(D663:E663)</f>
        <v>0</v>
      </c>
      <c r="D663" s="986"/>
      <c r="E663" s="990"/>
      <c r="F663" s="893">
        <f t="shared" si="57"/>
        <v>0</v>
      </c>
    </row>
    <row r="664" spans="1:6" s="13" customFormat="1" ht="18.75" hidden="1" x14ac:dyDescent="0.3">
      <c r="A664" s="973"/>
      <c r="B664" s="891"/>
      <c r="C664" s="986">
        <f t="shared" si="58"/>
        <v>0</v>
      </c>
      <c r="D664" s="986"/>
      <c r="E664" s="990"/>
      <c r="F664" s="893">
        <f t="shared" si="57"/>
        <v>0</v>
      </c>
    </row>
    <row r="665" spans="1:6" s="13" customFormat="1" ht="18.75" hidden="1" x14ac:dyDescent="0.3">
      <c r="A665" s="973"/>
      <c r="B665" s="891"/>
      <c r="C665" s="986">
        <f t="shared" si="58"/>
        <v>0</v>
      </c>
      <c r="D665" s="986"/>
      <c r="E665" s="990"/>
      <c r="F665" s="893">
        <f t="shared" si="57"/>
        <v>0</v>
      </c>
    </row>
    <row r="666" spans="1:6" s="13" customFormat="1" ht="18.75" hidden="1" x14ac:dyDescent="0.3">
      <c r="A666" s="973"/>
      <c r="B666" s="891"/>
      <c r="C666" s="986">
        <f t="shared" si="58"/>
        <v>0</v>
      </c>
      <c r="D666" s="986"/>
      <c r="E666" s="990"/>
      <c r="F666" s="893">
        <f t="shared" si="57"/>
        <v>0</v>
      </c>
    </row>
    <row r="667" spans="1:6" s="13" customFormat="1" ht="18.75" hidden="1" x14ac:dyDescent="0.3">
      <c r="A667" s="973"/>
      <c r="B667" s="891"/>
      <c r="C667" s="986">
        <f t="shared" si="58"/>
        <v>0</v>
      </c>
      <c r="D667" s="986"/>
      <c r="E667" s="990"/>
      <c r="F667" s="893">
        <f t="shared" si="57"/>
        <v>0</v>
      </c>
    </row>
    <row r="668" spans="1:6" s="13" customFormat="1" ht="18.75" hidden="1" x14ac:dyDescent="0.3">
      <c r="A668" s="973"/>
      <c r="B668" s="891"/>
      <c r="C668" s="986">
        <f t="shared" si="58"/>
        <v>0</v>
      </c>
      <c r="D668" s="986"/>
      <c r="E668" s="990"/>
      <c r="F668" s="893">
        <f t="shared" si="57"/>
        <v>0</v>
      </c>
    </row>
    <row r="669" spans="1:6" s="13" customFormat="1" ht="18.75" hidden="1" x14ac:dyDescent="0.3">
      <c r="A669" s="973"/>
      <c r="B669" s="891"/>
      <c r="C669" s="986">
        <f t="shared" si="58"/>
        <v>0</v>
      </c>
      <c r="D669" s="986"/>
      <c r="E669" s="990"/>
      <c r="F669" s="893">
        <f t="shared" si="57"/>
        <v>0</v>
      </c>
    </row>
    <row r="670" spans="1:6" s="13" customFormat="1" ht="18.75" hidden="1" x14ac:dyDescent="0.3">
      <c r="A670" s="973"/>
      <c r="B670" s="891"/>
      <c r="C670" s="986">
        <f t="shared" si="58"/>
        <v>0</v>
      </c>
      <c r="D670" s="986"/>
      <c r="E670" s="990"/>
      <c r="F670" s="893">
        <f t="shared" si="57"/>
        <v>0</v>
      </c>
    </row>
    <row r="671" spans="1:6" s="13" customFormat="1" ht="18.75" hidden="1" x14ac:dyDescent="0.3">
      <c r="A671" s="973"/>
      <c r="B671" s="891"/>
      <c r="C671" s="986">
        <f t="shared" si="58"/>
        <v>0</v>
      </c>
      <c r="D671" s="986"/>
      <c r="E671" s="990"/>
      <c r="F671" s="893">
        <f t="shared" si="57"/>
        <v>0</v>
      </c>
    </row>
    <row r="672" spans="1:6" s="13" customFormat="1" ht="18.75" hidden="1" x14ac:dyDescent="0.3">
      <c r="A672" s="974"/>
      <c r="B672" s="891" t="s">
        <v>740</v>
      </c>
      <c r="C672" s="986">
        <f>SUM(C662:C671)</f>
        <v>0</v>
      </c>
      <c r="D672" s="986">
        <f>SUM(D662:D671)</f>
        <v>0</v>
      </c>
      <c r="E672" s="986">
        <f>SUM(E662:E671)</f>
        <v>0</v>
      </c>
      <c r="F672" s="893">
        <f t="shared" si="57"/>
        <v>0</v>
      </c>
    </row>
    <row r="673" spans="1:6" s="13" customFormat="1" ht="75" hidden="1" x14ac:dyDescent="0.3">
      <c r="A673" s="972" t="s">
        <v>1135</v>
      </c>
      <c r="B673" s="891"/>
      <c r="C673" s="987"/>
      <c r="D673" s="987"/>
      <c r="E673" s="987"/>
      <c r="F673" s="893">
        <f t="shared" si="57"/>
        <v>0</v>
      </c>
    </row>
    <row r="674" spans="1:6" s="13" customFormat="1" ht="18.75" hidden="1" x14ac:dyDescent="0.3">
      <c r="A674" s="973"/>
      <c r="B674" s="891"/>
      <c r="C674" s="986">
        <f t="shared" ref="C674:C682" si="59">SUM(D674:E674)</f>
        <v>0</v>
      </c>
      <c r="D674" s="986"/>
      <c r="E674" s="990"/>
      <c r="F674" s="893">
        <f t="shared" si="57"/>
        <v>0</v>
      </c>
    </row>
    <row r="675" spans="1:6" s="13" customFormat="1" ht="18.75" hidden="1" x14ac:dyDescent="0.3">
      <c r="A675" s="973"/>
      <c r="B675" s="891"/>
      <c r="C675" s="986">
        <f t="shared" si="59"/>
        <v>0</v>
      </c>
      <c r="D675" s="986"/>
      <c r="E675" s="990"/>
      <c r="F675" s="893">
        <f t="shared" si="57"/>
        <v>0</v>
      </c>
    </row>
    <row r="676" spans="1:6" s="13" customFormat="1" ht="18.75" hidden="1" x14ac:dyDescent="0.3">
      <c r="A676" s="973"/>
      <c r="B676" s="891"/>
      <c r="C676" s="986">
        <f t="shared" si="59"/>
        <v>0</v>
      </c>
      <c r="D676" s="986"/>
      <c r="E676" s="990"/>
      <c r="F676" s="893">
        <f t="shared" si="57"/>
        <v>0</v>
      </c>
    </row>
    <row r="677" spans="1:6" s="13" customFormat="1" ht="18.75" hidden="1" x14ac:dyDescent="0.3">
      <c r="A677" s="973"/>
      <c r="B677" s="891"/>
      <c r="C677" s="986">
        <f t="shared" si="59"/>
        <v>0</v>
      </c>
      <c r="D677" s="986"/>
      <c r="E677" s="990"/>
      <c r="F677" s="893">
        <f t="shared" si="57"/>
        <v>0</v>
      </c>
    </row>
    <row r="678" spans="1:6" s="13" customFormat="1" ht="18.75" hidden="1" x14ac:dyDescent="0.3">
      <c r="A678" s="973"/>
      <c r="B678" s="891"/>
      <c r="C678" s="986">
        <f t="shared" si="59"/>
        <v>0</v>
      </c>
      <c r="D678" s="986"/>
      <c r="E678" s="990"/>
      <c r="F678" s="893">
        <f t="shared" si="57"/>
        <v>0</v>
      </c>
    </row>
    <row r="679" spans="1:6" s="13" customFormat="1" ht="18.75" hidden="1" x14ac:dyDescent="0.3">
      <c r="A679" s="973"/>
      <c r="B679" s="891"/>
      <c r="C679" s="986">
        <f t="shared" si="59"/>
        <v>0</v>
      </c>
      <c r="D679" s="986"/>
      <c r="E679" s="990"/>
      <c r="F679" s="893">
        <f t="shared" si="57"/>
        <v>0</v>
      </c>
    </row>
    <row r="680" spans="1:6" s="13" customFormat="1" ht="18.75" hidden="1" x14ac:dyDescent="0.3">
      <c r="A680" s="973"/>
      <c r="B680" s="891"/>
      <c r="C680" s="986">
        <f t="shared" si="59"/>
        <v>0</v>
      </c>
      <c r="D680" s="986"/>
      <c r="E680" s="990"/>
      <c r="F680" s="893">
        <f t="shared" si="57"/>
        <v>0</v>
      </c>
    </row>
    <row r="681" spans="1:6" s="13" customFormat="1" ht="18.75" hidden="1" x14ac:dyDescent="0.3">
      <c r="A681" s="973"/>
      <c r="B681" s="891"/>
      <c r="C681" s="986">
        <f t="shared" si="59"/>
        <v>0</v>
      </c>
      <c r="D681" s="986"/>
      <c r="E681" s="990"/>
      <c r="F681" s="893">
        <f t="shared" si="57"/>
        <v>0</v>
      </c>
    </row>
    <row r="682" spans="1:6" s="13" customFormat="1" ht="18.75" hidden="1" x14ac:dyDescent="0.3">
      <c r="A682" s="973"/>
      <c r="B682" s="891"/>
      <c r="C682" s="986">
        <f t="shared" si="59"/>
        <v>0</v>
      </c>
      <c r="D682" s="986"/>
      <c r="E682" s="990"/>
      <c r="F682" s="893">
        <f t="shared" si="57"/>
        <v>0</v>
      </c>
    </row>
    <row r="683" spans="1:6" s="13" customFormat="1" ht="18.75" hidden="1" x14ac:dyDescent="0.3">
      <c r="A683" s="974"/>
      <c r="B683" s="891" t="s">
        <v>740</v>
      </c>
      <c r="C683" s="986">
        <f>SUM(C673:C682)</f>
        <v>0</v>
      </c>
      <c r="D683" s="986">
        <f>SUM(D673:D682)</f>
        <v>0</v>
      </c>
      <c r="E683" s="986">
        <f>SUM(E673:E682)</f>
        <v>0</v>
      </c>
      <c r="F683" s="893">
        <f t="shared" si="57"/>
        <v>0</v>
      </c>
    </row>
    <row r="684" spans="1:6" s="13" customFormat="1" ht="93.75" hidden="1" customHeight="1" x14ac:dyDescent="0.3">
      <c r="A684" s="1669" t="s">
        <v>1137</v>
      </c>
      <c r="B684" s="891"/>
      <c r="C684" s="987"/>
      <c r="D684" s="987"/>
      <c r="E684" s="987"/>
      <c r="F684" s="893">
        <f t="shared" si="57"/>
        <v>0</v>
      </c>
    </row>
    <row r="685" spans="1:6" s="13" customFormat="1" ht="18.75" hidden="1" customHeight="1" x14ac:dyDescent="0.3">
      <c r="A685" s="1667"/>
      <c r="B685" s="85"/>
      <c r="C685" s="992"/>
      <c r="D685" s="992"/>
      <c r="E685" s="992"/>
      <c r="F685" s="893">
        <f t="shared" si="57"/>
        <v>0</v>
      </c>
    </row>
    <row r="686" spans="1:6" ht="56.25" x14ac:dyDescent="0.3">
      <c r="A686" s="1667"/>
      <c r="B686" s="862" t="s">
        <v>1785</v>
      </c>
      <c r="C686" s="1457">
        <v>50000</v>
      </c>
      <c r="D686" s="1457">
        <v>50000</v>
      </c>
      <c r="E686" s="1457"/>
      <c r="F686" s="1525">
        <f t="shared" si="57"/>
        <v>50000</v>
      </c>
    </row>
    <row r="687" spans="1:6" s="13" customFormat="1" ht="18.75" hidden="1" customHeight="1" x14ac:dyDescent="0.3">
      <c r="A687" s="1667"/>
      <c r="B687" s="891"/>
      <c r="C687" s="987"/>
      <c r="D687" s="987"/>
      <c r="E687" s="987"/>
      <c r="F687" s="893">
        <f t="shared" si="57"/>
        <v>0</v>
      </c>
    </row>
    <row r="688" spans="1:6" s="13" customFormat="1" ht="18.75" hidden="1" customHeight="1" x14ac:dyDescent="0.3">
      <c r="A688" s="1667"/>
      <c r="B688" s="891"/>
      <c r="C688" s="987"/>
      <c r="D688" s="987"/>
      <c r="E688" s="987"/>
      <c r="F688" s="893">
        <f t="shared" si="57"/>
        <v>0</v>
      </c>
    </row>
    <row r="689" spans="1:6" s="13" customFormat="1" ht="18.75" hidden="1" customHeight="1" x14ac:dyDescent="0.3">
      <c r="A689" s="1667"/>
      <c r="B689" s="1001"/>
      <c r="C689" s="987"/>
      <c r="D689" s="987"/>
      <c r="E689" s="987"/>
      <c r="F689" s="893">
        <f t="shared" si="57"/>
        <v>0</v>
      </c>
    </row>
    <row r="690" spans="1:6" s="13" customFormat="1" ht="18.75" hidden="1" customHeight="1" x14ac:dyDescent="0.3">
      <c r="A690" s="1667"/>
      <c r="B690" s="85"/>
      <c r="C690" s="987"/>
      <c r="D690" s="987"/>
      <c r="E690" s="991"/>
      <c r="F690" s="893">
        <f t="shared" si="57"/>
        <v>0</v>
      </c>
    </row>
    <row r="691" spans="1:6" s="13" customFormat="1" ht="18.75" hidden="1" customHeight="1" x14ac:dyDescent="0.3">
      <c r="A691" s="1667"/>
      <c r="B691" s="891"/>
      <c r="C691" s="986">
        <f>SUM(D691:E691)</f>
        <v>0</v>
      </c>
      <c r="D691" s="986"/>
      <c r="E691" s="990"/>
      <c r="F691" s="893">
        <f t="shared" si="57"/>
        <v>0</v>
      </c>
    </row>
    <row r="692" spans="1:6" s="13" customFormat="1" ht="18.75" hidden="1" customHeight="1" x14ac:dyDescent="0.3">
      <c r="A692" s="1667"/>
      <c r="B692" s="891"/>
      <c r="C692" s="986">
        <f>SUM(D692:E692)</f>
        <v>0</v>
      </c>
      <c r="D692" s="986"/>
      <c r="E692" s="990"/>
      <c r="F692" s="893">
        <f t="shared" si="57"/>
        <v>0</v>
      </c>
    </row>
    <row r="693" spans="1:6" s="13" customFormat="1" ht="18.75" hidden="1" customHeight="1" x14ac:dyDescent="0.3">
      <c r="A693" s="1667"/>
      <c r="B693" s="891"/>
      <c r="C693" s="986">
        <f>SUM(D693:E693)</f>
        <v>0</v>
      </c>
      <c r="D693" s="986"/>
      <c r="E693" s="990"/>
      <c r="F693" s="893">
        <f t="shared" si="57"/>
        <v>0</v>
      </c>
    </row>
    <row r="694" spans="1:6" ht="18.75" x14ac:dyDescent="0.3">
      <c r="A694" s="1673"/>
      <c r="B694" s="862" t="s">
        <v>740</v>
      </c>
      <c r="C694" s="1438">
        <f>SUM(C684:C693)</f>
        <v>50000</v>
      </c>
      <c r="D694" s="1438">
        <f>SUM(D684:D693)</f>
        <v>50000</v>
      </c>
      <c r="E694" s="1438">
        <f>SUM(E684:E693)</f>
        <v>0</v>
      </c>
      <c r="F694" s="1525">
        <f t="shared" si="57"/>
        <v>50000</v>
      </c>
    </row>
    <row r="695" spans="1:6" s="13" customFormat="1" ht="75" hidden="1" x14ac:dyDescent="0.3">
      <c r="A695" s="972" t="s">
        <v>1139</v>
      </c>
      <c r="B695" s="85"/>
      <c r="C695" s="992"/>
      <c r="D695" s="992"/>
      <c r="E695" s="992"/>
      <c r="F695" s="893">
        <f t="shared" si="57"/>
        <v>0</v>
      </c>
    </row>
    <row r="696" spans="1:6" s="13" customFormat="1" ht="18.75" hidden="1" x14ac:dyDescent="0.3">
      <c r="A696" s="973"/>
      <c r="B696" s="85"/>
      <c r="C696" s="992"/>
      <c r="D696" s="987"/>
      <c r="E696" s="987"/>
      <c r="F696" s="893">
        <f t="shared" si="57"/>
        <v>0</v>
      </c>
    </row>
    <row r="697" spans="1:6" s="13" customFormat="1" ht="18.75" hidden="1" x14ac:dyDescent="0.3">
      <c r="A697" s="973"/>
      <c r="B697" s="85"/>
      <c r="C697" s="987"/>
      <c r="D697" s="991"/>
      <c r="E697" s="987"/>
      <c r="F697" s="893">
        <f t="shared" si="57"/>
        <v>0</v>
      </c>
    </row>
    <row r="698" spans="1:6" s="13" customFormat="1" ht="18" hidden="1" customHeight="1" x14ac:dyDescent="0.3">
      <c r="A698" s="973"/>
      <c r="B698" s="891"/>
      <c r="C698" s="986">
        <f t="shared" ref="C698:C704" si="60">SUM(D698:E698)</f>
        <v>0</v>
      </c>
      <c r="D698" s="986"/>
      <c r="E698" s="990"/>
      <c r="F698" s="893">
        <f t="shared" si="57"/>
        <v>0</v>
      </c>
    </row>
    <row r="699" spans="1:6" s="13" customFormat="1" ht="18" hidden="1" customHeight="1" x14ac:dyDescent="0.3">
      <c r="A699" s="973"/>
      <c r="B699" s="891"/>
      <c r="C699" s="986">
        <f t="shared" si="60"/>
        <v>0</v>
      </c>
      <c r="D699" s="986"/>
      <c r="E699" s="990"/>
      <c r="F699" s="893">
        <f t="shared" si="57"/>
        <v>0</v>
      </c>
    </row>
    <row r="700" spans="1:6" s="13" customFormat="1" ht="18" hidden="1" customHeight="1" x14ac:dyDescent="0.3">
      <c r="A700" s="973"/>
      <c r="B700" s="891"/>
      <c r="C700" s="986">
        <f t="shared" si="60"/>
        <v>0</v>
      </c>
      <c r="D700" s="986"/>
      <c r="E700" s="990"/>
      <c r="F700" s="893">
        <f t="shared" si="57"/>
        <v>0</v>
      </c>
    </row>
    <row r="701" spans="1:6" s="13" customFormat="1" ht="18" hidden="1" customHeight="1" x14ac:dyDescent="0.3">
      <c r="A701" s="973"/>
      <c r="B701" s="891"/>
      <c r="C701" s="986">
        <f t="shared" si="60"/>
        <v>0</v>
      </c>
      <c r="D701" s="986"/>
      <c r="E701" s="990"/>
      <c r="F701" s="893">
        <f t="shared" si="57"/>
        <v>0</v>
      </c>
    </row>
    <row r="702" spans="1:6" s="13" customFormat="1" ht="18" hidden="1" customHeight="1" x14ac:dyDescent="0.3">
      <c r="A702" s="973"/>
      <c r="B702" s="891"/>
      <c r="C702" s="986">
        <f t="shared" si="60"/>
        <v>0</v>
      </c>
      <c r="D702" s="986"/>
      <c r="E702" s="990"/>
      <c r="F702" s="893">
        <f t="shared" si="57"/>
        <v>0</v>
      </c>
    </row>
    <row r="703" spans="1:6" s="13" customFormat="1" ht="18" hidden="1" customHeight="1" x14ac:dyDescent="0.3">
      <c r="A703" s="973"/>
      <c r="B703" s="891"/>
      <c r="C703" s="986">
        <f t="shared" si="60"/>
        <v>0</v>
      </c>
      <c r="D703" s="986"/>
      <c r="E703" s="990"/>
      <c r="F703" s="893">
        <f t="shared" si="57"/>
        <v>0</v>
      </c>
    </row>
    <row r="704" spans="1:6" s="13" customFormat="1" ht="18" hidden="1" customHeight="1" x14ac:dyDescent="0.3">
      <c r="A704" s="973"/>
      <c r="B704" s="891"/>
      <c r="C704" s="986">
        <f t="shared" si="60"/>
        <v>0</v>
      </c>
      <c r="D704" s="986"/>
      <c r="E704" s="990"/>
      <c r="F704" s="893">
        <f t="shared" si="57"/>
        <v>0</v>
      </c>
    </row>
    <row r="705" spans="1:6" s="13" customFormat="1" ht="18.75" hidden="1" x14ac:dyDescent="0.3">
      <c r="A705" s="974"/>
      <c r="B705" s="891" t="s">
        <v>740</v>
      </c>
      <c r="C705" s="986">
        <f>SUM(C695:C704)</f>
        <v>0</v>
      </c>
      <c r="D705" s="986">
        <f>SUM(D695:D704)</f>
        <v>0</v>
      </c>
      <c r="E705" s="986">
        <f>SUM(E695:E704)</f>
        <v>0</v>
      </c>
      <c r="F705" s="893">
        <f t="shared" si="57"/>
        <v>0</v>
      </c>
    </row>
    <row r="706" spans="1:6" s="13" customFormat="1" ht="93.75" hidden="1" x14ac:dyDescent="0.3">
      <c r="A706" s="972" t="s">
        <v>1141</v>
      </c>
      <c r="B706" s="891"/>
      <c r="C706" s="987"/>
      <c r="D706" s="987"/>
      <c r="E706" s="987"/>
      <c r="F706" s="893">
        <f t="shared" si="57"/>
        <v>0</v>
      </c>
    </row>
    <row r="707" spans="1:6" s="13" customFormat="1" ht="18.75" hidden="1" x14ac:dyDescent="0.3">
      <c r="A707" s="973"/>
      <c r="B707" s="891"/>
      <c r="C707" s="987"/>
      <c r="D707" s="987"/>
      <c r="E707" s="987"/>
      <c r="F707" s="893">
        <f t="shared" si="57"/>
        <v>0</v>
      </c>
    </row>
    <row r="708" spans="1:6" s="13" customFormat="1" ht="18.75" hidden="1" x14ac:dyDescent="0.3">
      <c r="A708" s="973"/>
      <c r="B708" s="85"/>
      <c r="C708" s="987"/>
      <c r="D708" s="987"/>
      <c r="E708" s="991"/>
      <c r="F708" s="893">
        <f t="shared" si="57"/>
        <v>0</v>
      </c>
    </row>
    <row r="709" spans="1:6" s="13" customFormat="1" ht="18.75" hidden="1" x14ac:dyDescent="0.3">
      <c r="A709" s="973"/>
      <c r="B709" s="891"/>
      <c r="C709" s="986">
        <f t="shared" ref="C709:C715" si="61">SUM(D709:E709)</f>
        <v>0</v>
      </c>
      <c r="D709" s="986"/>
      <c r="E709" s="990"/>
      <c r="F709" s="893">
        <f t="shared" si="57"/>
        <v>0</v>
      </c>
    </row>
    <row r="710" spans="1:6" s="13" customFormat="1" ht="18.75" hidden="1" x14ac:dyDescent="0.3">
      <c r="A710" s="973"/>
      <c r="B710" s="891"/>
      <c r="C710" s="986">
        <f t="shared" si="61"/>
        <v>0</v>
      </c>
      <c r="D710" s="986"/>
      <c r="E710" s="990"/>
      <c r="F710" s="893">
        <f t="shared" si="57"/>
        <v>0</v>
      </c>
    </row>
    <row r="711" spans="1:6" s="13" customFormat="1" ht="18.75" hidden="1" x14ac:dyDescent="0.3">
      <c r="A711" s="973"/>
      <c r="B711" s="891"/>
      <c r="C711" s="986">
        <f t="shared" si="61"/>
        <v>0</v>
      </c>
      <c r="D711" s="986"/>
      <c r="E711" s="990"/>
      <c r="F711" s="893">
        <f t="shared" si="57"/>
        <v>0</v>
      </c>
    </row>
    <row r="712" spans="1:6" s="13" customFormat="1" ht="18.75" hidden="1" x14ac:dyDescent="0.3">
      <c r="A712" s="973"/>
      <c r="B712" s="891"/>
      <c r="C712" s="986">
        <f t="shared" si="61"/>
        <v>0</v>
      </c>
      <c r="D712" s="986"/>
      <c r="E712" s="990"/>
      <c r="F712" s="893">
        <f t="shared" si="57"/>
        <v>0</v>
      </c>
    </row>
    <row r="713" spans="1:6" s="13" customFormat="1" ht="18.75" hidden="1" x14ac:dyDescent="0.3">
      <c r="A713" s="973"/>
      <c r="B713" s="891"/>
      <c r="C713" s="986">
        <f t="shared" si="61"/>
        <v>0</v>
      </c>
      <c r="D713" s="986"/>
      <c r="E713" s="990"/>
      <c r="F713" s="893">
        <f t="shared" si="57"/>
        <v>0</v>
      </c>
    </row>
    <row r="714" spans="1:6" s="13" customFormat="1" ht="18.75" hidden="1" x14ac:dyDescent="0.3">
      <c r="A714" s="973"/>
      <c r="B714" s="891"/>
      <c r="C714" s="986">
        <f t="shared" si="61"/>
        <v>0</v>
      </c>
      <c r="D714" s="986"/>
      <c r="E714" s="990"/>
      <c r="F714" s="893">
        <f t="shared" si="57"/>
        <v>0</v>
      </c>
    </row>
    <row r="715" spans="1:6" s="13" customFormat="1" ht="18.75" hidden="1" x14ac:dyDescent="0.3">
      <c r="A715" s="973"/>
      <c r="B715" s="891"/>
      <c r="C715" s="986">
        <f t="shared" si="61"/>
        <v>0</v>
      </c>
      <c r="D715" s="986"/>
      <c r="E715" s="990"/>
      <c r="F715" s="893">
        <f t="shared" si="57"/>
        <v>0</v>
      </c>
    </row>
    <row r="716" spans="1:6" s="13" customFormat="1" ht="18.75" hidden="1" x14ac:dyDescent="0.3">
      <c r="A716" s="974"/>
      <c r="B716" s="891" t="s">
        <v>740</v>
      </c>
      <c r="C716" s="986">
        <f>SUM(C706:C715)</f>
        <v>0</v>
      </c>
      <c r="D716" s="986">
        <f>SUM(D706:D715)</f>
        <v>0</v>
      </c>
      <c r="E716" s="986">
        <f>SUM(E706:E715)</f>
        <v>0</v>
      </c>
      <c r="F716" s="893">
        <f t="shared" ref="F716:F779" si="62">C716</f>
        <v>0</v>
      </c>
    </row>
    <row r="717" spans="1:6" s="13" customFormat="1" ht="75" hidden="1" x14ac:dyDescent="0.3">
      <c r="A717" s="972" t="s">
        <v>1143</v>
      </c>
      <c r="B717" s="85"/>
      <c r="C717" s="986"/>
      <c r="D717" s="992"/>
      <c r="E717" s="992"/>
      <c r="F717" s="893">
        <f t="shared" si="62"/>
        <v>0</v>
      </c>
    </row>
    <row r="718" spans="1:6" s="13" customFormat="1" ht="18.75" hidden="1" x14ac:dyDescent="0.3">
      <c r="A718" s="973"/>
      <c r="B718" s="85"/>
      <c r="C718" s="986"/>
      <c r="D718" s="992"/>
      <c r="E718" s="992"/>
      <c r="F718" s="893">
        <f t="shared" si="62"/>
        <v>0</v>
      </c>
    </row>
    <row r="719" spans="1:6" s="13" customFormat="1" ht="18.75" hidden="1" x14ac:dyDescent="0.3">
      <c r="A719" s="973"/>
      <c r="B719" s="85"/>
      <c r="C719" s="986"/>
      <c r="D719" s="992"/>
      <c r="E719" s="992"/>
      <c r="F719" s="893">
        <f t="shared" si="62"/>
        <v>0</v>
      </c>
    </row>
    <row r="720" spans="1:6" s="13" customFormat="1" ht="18.75" hidden="1" x14ac:dyDescent="0.3">
      <c r="A720" s="973"/>
      <c r="B720" s="85"/>
      <c r="C720" s="986"/>
      <c r="D720" s="992"/>
      <c r="E720" s="992"/>
      <c r="F720" s="893">
        <f t="shared" si="62"/>
        <v>0</v>
      </c>
    </row>
    <row r="721" spans="1:6" s="13" customFormat="1" ht="18.75" hidden="1" x14ac:dyDescent="0.3">
      <c r="A721" s="973"/>
      <c r="B721" s="891"/>
      <c r="C721" s="986"/>
      <c r="D721" s="986"/>
      <c r="E721" s="990"/>
      <c r="F721" s="893">
        <f t="shared" si="62"/>
        <v>0</v>
      </c>
    </row>
    <row r="722" spans="1:6" s="13" customFormat="1" ht="18.75" hidden="1" x14ac:dyDescent="0.3">
      <c r="A722" s="973"/>
      <c r="B722" s="85"/>
      <c r="C722" s="987"/>
      <c r="D722" s="987"/>
      <c r="E722" s="991"/>
      <c r="F722" s="893">
        <f t="shared" si="62"/>
        <v>0</v>
      </c>
    </row>
    <row r="723" spans="1:6" s="13" customFormat="1" ht="18.75" hidden="1" x14ac:dyDescent="0.3">
      <c r="A723" s="973"/>
      <c r="B723" s="891"/>
      <c r="C723" s="986">
        <f>SUM(D723:E723)</f>
        <v>0</v>
      </c>
      <c r="D723" s="986"/>
      <c r="E723" s="990"/>
      <c r="F723" s="893">
        <f t="shared" si="62"/>
        <v>0</v>
      </c>
    </row>
    <row r="724" spans="1:6" s="13" customFormat="1" ht="18.75" hidden="1" x14ac:dyDescent="0.3">
      <c r="A724" s="973"/>
      <c r="B724" s="891"/>
      <c r="C724" s="986">
        <f>SUM(D724:E724)</f>
        <v>0</v>
      </c>
      <c r="D724" s="986"/>
      <c r="E724" s="990"/>
      <c r="F724" s="893">
        <f t="shared" si="62"/>
        <v>0</v>
      </c>
    </row>
    <row r="725" spans="1:6" s="13" customFormat="1" ht="18.75" hidden="1" x14ac:dyDescent="0.3">
      <c r="A725" s="973"/>
      <c r="B725" s="891"/>
      <c r="C725" s="986">
        <f>SUM(D725:E725)</f>
        <v>0</v>
      </c>
      <c r="D725" s="986"/>
      <c r="E725" s="990"/>
      <c r="F725" s="893">
        <f t="shared" si="62"/>
        <v>0</v>
      </c>
    </row>
    <row r="726" spans="1:6" s="13" customFormat="1" ht="18.75" hidden="1" x14ac:dyDescent="0.3">
      <c r="A726" s="973"/>
      <c r="B726" s="891"/>
      <c r="C726" s="986">
        <f>SUM(D726:E726)</f>
        <v>0</v>
      </c>
      <c r="D726" s="986"/>
      <c r="E726" s="990"/>
      <c r="F726" s="893">
        <f t="shared" si="62"/>
        <v>0</v>
      </c>
    </row>
    <row r="727" spans="1:6" s="13" customFormat="1" ht="18.75" hidden="1" x14ac:dyDescent="0.3">
      <c r="A727" s="974"/>
      <c r="B727" s="891" t="s">
        <v>740</v>
      </c>
      <c r="C727" s="986">
        <f>SUM(C717:C726)</f>
        <v>0</v>
      </c>
      <c r="D727" s="986">
        <f>SUM(D717:D726)</f>
        <v>0</v>
      </c>
      <c r="E727" s="986">
        <f>SUM(E717:E726)</f>
        <v>0</v>
      </c>
      <c r="F727" s="893">
        <f t="shared" si="62"/>
        <v>0</v>
      </c>
    </row>
    <row r="728" spans="1:6" s="13" customFormat="1" ht="75" hidden="1" x14ac:dyDescent="0.3">
      <c r="A728" s="972" t="s">
        <v>1145</v>
      </c>
      <c r="B728" s="891"/>
      <c r="C728" s="986"/>
      <c r="D728" s="986"/>
      <c r="E728" s="990"/>
      <c r="F728" s="893">
        <f t="shared" si="62"/>
        <v>0</v>
      </c>
    </row>
    <row r="729" spans="1:6" s="13" customFormat="1" ht="18.75" hidden="1" x14ac:dyDescent="0.3">
      <c r="A729" s="973"/>
      <c r="B729" s="85"/>
      <c r="C729" s="987"/>
      <c r="D729" s="987"/>
      <c r="E729" s="987"/>
      <c r="F729" s="893">
        <f t="shared" si="62"/>
        <v>0</v>
      </c>
    </row>
    <row r="730" spans="1:6" s="13" customFormat="1" ht="18.75" hidden="1" x14ac:dyDescent="0.3">
      <c r="A730" s="973"/>
      <c r="B730" s="891"/>
      <c r="C730" s="986">
        <f t="shared" ref="C730:C737" si="63">SUM(D730:E730)</f>
        <v>0</v>
      </c>
      <c r="D730" s="986"/>
      <c r="E730" s="990"/>
      <c r="F730" s="893">
        <f t="shared" si="62"/>
        <v>0</v>
      </c>
    </row>
    <row r="731" spans="1:6" s="13" customFormat="1" ht="18.75" hidden="1" x14ac:dyDescent="0.3">
      <c r="A731" s="973"/>
      <c r="B731" s="891"/>
      <c r="C731" s="986">
        <f t="shared" si="63"/>
        <v>0</v>
      </c>
      <c r="D731" s="986"/>
      <c r="E731" s="990"/>
      <c r="F731" s="893">
        <f t="shared" si="62"/>
        <v>0</v>
      </c>
    </row>
    <row r="732" spans="1:6" s="13" customFormat="1" ht="18.75" hidden="1" x14ac:dyDescent="0.3">
      <c r="A732" s="973"/>
      <c r="B732" s="891"/>
      <c r="C732" s="986">
        <f t="shared" si="63"/>
        <v>0</v>
      </c>
      <c r="D732" s="986"/>
      <c r="E732" s="990"/>
      <c r="F732" s="893">
        <f t="shared" si="62"/>
        <v>0</v>
      </c>
    </row>
    <row r="733" spans="1:6" s="13" customFormat="1" ht="18.75" hidden="1" x14ac:dyDescent="0.3">
      <c r="A733" s="973"/>
      <c r="B733" s="891"/>
      <c r="C733" s="986">
        <f t="shared" si="63"/>
        <v>0</v>
      </c>
      <c r="D733" s="986"/>
      <c r="E733" s="990"/>
      <c r="F733" s="893">
        <f t="shared" si="62"/>
        <v>0</v>
      </c>
    </row>
    <row r="734" spans="1:6" s="13" customFormat="1" ht="18.75" hidden="1" x14ac:dyDescent="0.3">
      <c r="A734" s="973"/>
      <c r="B734" s="891"/>
      <c r="C734" s="986">
        <f t="shared" si="63"/>
        <v>0</v>
      </c>
      <c r="D734" s="986"/>
      <c r="E734" s="990"/>
      <c r="F734" s="893">
        <f t="shared" si="62"/>
        <v>0</v>
      </c>
    </row>
    <row r="735" spans="1:6" s="13" customFormat="1" ht="18.75" hidden="1" x14ac:dyDescent="0.3">
      <c r="A735" s="973"/>
      <c r="B735" s="891"/>
      <c r="C735" s="986">
        <f t="shared" si="63"/>
        <v>0</v>
      </c>
      <c r="D735" s="986"/>
      <c r="E735" s="990"/>
      <c r="F735" s="893">
        <f t="shared" si="62"/>
        <v>0</v>
      </c>
    </row>
    <row r="736" spans="1:6" s="13" customFormat="1" ht="18.75" hidden="1" x14ac:dyDescent="0.3">
      <c r="A736" s="973"/>
      <c r="B736" s="891"/>
      <c r="C736" s="986">
        <f t="shared" si="63"/>
        <v>0</v>
      </c>
      <c r="D736" s="986"/>
      <c r="E736" s="990"/>
      <c r="F736" s="893">
        <f t="shared" si="62"/>
        <v>0</v>
      </c>
    </row>
    <row r="737" spans="1:6" s="13" customFormat="1" ht="18.75" hidden="1" x14ac:dyDescent="0.3">
      <c r="A737" s="973"/>
      <c r="B737" s="891"/>
      <c r="C737" s="986">
        <f t="shared" si="63"/>
        <v>0</v>
      </c>
      <c r="D737" s="986"/>
      <c r="E737" s="990"/>
      <c r="F737" s="893">
        <f t="shared" si="62"/>
        <v>0</v>
      </c>
    </row>
    <row r="738" spans="1:6" s="13" customFormat="1" ht="18.75" hidden="1" x14ac:dyDescent="0.3">
      <c r="A738" s="974"/>
      <c r="B738" s="891" t="s">
        <v>740</v>
      </c>
      <c r="C738" s="986">
        <f>SUM(C728:C737)</f>
        <v>0</v>
      </c>
      <c r="D738" s="986">
        <f>SUM(D728:D737)</f>
        <v>0</v>
      </c>
      <c r="E738" s="986">
        <f>SUM(E728:E737)</f>
        <v>0</v>
      </c>
      <c r="F738" s="893">
        <f t="shared" si="62"/>
        <v>0</v>
      </c>
    </row>
    <row r="739" spans="1:6" s="13" customFormat="1" ht="93.75" hidden="1" customHeight="1" x14ac:dyDescent="0.3">
      <c r="A739" s="1669" t="s">
        <v>1147</v>
      </c>
      <c r="B739" s="85"/>
      <c r="C739" s="986"/>
      <c r="D739" s="992"/>
      <c r="E739" s="990"/>
      <c r="F739" s="893">
        <f t="shared" si="62"/>
        <v>0</v>
      </c>
    </row>
    <row r="740" spans="1:6" ht="131.25" x14ac:dyDescent="0.3">
      <c r="A740" s="1667"/>
      <c r="B740" s="506" t="s">
        <v>2305</v>
      </c>
      <c r="C740" s="882">
        <v>216000</v>
      </c>
      <c r="D740" s="882"/>
      <c r="E740" s="882">
        <v>216000</v>
      </c>
      <c r="F740" s="1525">
        <f t="shared" si="62"/>
        <v>216000</v>
      </c>
    </row>
    <row r="741" spans="1:6" ht="93.75" x14ac:dyDescent="0.3">
      <c r="A741" s="1667"/>
      <c r="B741" s="862" t="s">
        <v>1753</v>
      </c>
      <c r="C741" s="1457">
        <v>50000</v>
      </c>
      <c r="D741" s="1457">
        <v>50000</v>
      </c>
      <c r="E741" s="1457"/>
      <c r="F741" s="1525">
        <f t="shared" si="62"/>
        <v>50000</v>
      </c>
    </row>
    <row r="742" spans="1:6" s="13" customFormat="1" ht="18.75" hidden="1" customHeight="1" x14ac:dyDescent="0.3">
      <c r="A742" s="1667"/>
      <c r="B742" s="891"/>
      <c r="C742" s="987"/>
      <c r="D742" s="987"/>
      <c r="E742" s="987"/>
      <c r="F742" s="893">
        <f t="shared" si="62"/>
        <v>0</v>
      </c>
    </row>
    <row r="743" spans="1:6" s="13" customFormat="1" ht="18.75" hidden="1" customHeight="1" x14ac:dyDescent="0.3">
      <c r="A743" s="1667"/>
      <c r="B743" s="891"/>
      <c r="C743" s="987"/>
      <c r="D743" s="987"/>
      <c r="E743" s="987"/>
      <c r="F743" s="893">
        <f t="shared" si="62"/>
        <v>0</v>
      </c>
    </row>
    <row r="744" spans="1:6" s="13" customFormat="1" ht="18.75" hidden="1" customHeight="1" x14ac:dyDescent="0.3">
      <c r="A744" s="1667"/>
      <c r="B744" s="891"/>
      <c r="C744" s="987"/>
      <c r="D744" s="987"/>
      <c r="E744" s="987"/>
      <c r="F744" s="893">
        <f t="shared" si="62"/>
        <v>0</v>
      </c>
    </row>
    <row r="745" spans="1:6" s="13" customFormat="1" ht="18.75" hidden="1" customHeight="1" x14ac:dyDescent="0.3">
      <c r="A745" s="1667"/>
      <c r="B745" s="891"/>
      <c r="C745" s="987"/>
      <c r="D745" s="987"/>
      <c r="E745" s="987"/>
      <c r="F745" s="893">
        <f t="shared" si="62"/>
        <v>0</v>
      </c>
    </row>
    <row r="746" spans="1:6" s="13" customFormat="1" ht="18.75" hidden="1" customHeight="1" x14ac:dyDescent="0.3">
      <c r="A746" s="1667"/>
      <c r="B746" s="891"/>
      <c r="C746" s="986">
        <f>SUM(D746:E746)</f>
        <v>0</v>
      </c>
      <c r="D746" s="986"/>
      <c r="E746" s="990"/>
      <c r="F746" s="893">
        <f t="shared" si="62"/>
        <v>0</v>
      </c>
    </row>
    <row r="747" spans="1:6" s="13" customFormat="1" ht="18.75" hidden="1" customHeight="1" x14ac:dyDescent="0.3">
      <c r="A747" s="1667"/>
      <c r="B747" s="891"/>
      <c r="C747" s="986">
        <f>SUM(D747:E747)</f>
        <v>0</v>
      </c>
      <c r="D747" s="986"/>
      <c r="E747" s="990"/>
      <c r="F747" s="893">
        <f t="shared" si="62"/>
        <v>0</v>
      </c>
    </row>
    <row r="748" spans="1:6" s="13" customFormat="1" ht="18.75" hidden="1" customHeight="1" x14ac:dyDescent="0.3">
      <c r="A748" s="1667"/>
      <c r="B748" s="891"/>
      <c r="C748" s="986">
        <f>SUM(D748:E748)</f>
        <v>0</v>
      </c>
      <c r="D748" s="986"/>
      <c r="E748" s="990"/>
      <c r="F748" s="893">
        <f t="shared" si="62"/>
        <v>0</v>
      </c>
    </row>
    <row r="749" spans="1:6" ht="18.75" x14ac:dyDescent="0.3">
      <c r="A749" s="1673"/>
      <c r="B749" s="862" t="s">
        <v>740</v>
      </c>
      <c r="C749" s="1438">
        <f>SUM(C739:C748)</f>
        <v>266000</v>
      </c>
      <c r="D749" s="1438">
        <f>SUM(D739:D748)</f>
        <v>50000</v>
      </c>
      <c r="E749" s="1438">
        <f>SUM(E739:E748)</f>
        <v>216000</v>
      </c>
      <c r="F749" s="1525">
        <f t="shared" si="62"/>
        <v>266000</v>
      </c>
    </row>
    <row r="750" spans="1:6" s="13" customFormat="1" ht="75" hidden="1" x14ac:dyDescent="0.3">
      <c r="A750" s="972" t="s">
        <v>1149</v>
      </c>
      <c r="B750" s="85"/>
      <c r="C750" s="986"/>
      <c r="D750" s="992"/>
      <c r="E750" s="990"/>
      <c r="F750" s="893">
        <f t="shared" si="62"/>
        <v>0</v>
      </c>
    </row>
    <row r="751" spans="1:6" s="13" customFormat="1" ht="18.75" hidden="1" x14ac:dyDescent="0.3">
      <c r="A751" s="973"/>
      <c r="B751" s="891"/>
      <c r="C751" s="986">
        <f t="shared" ref="C751:C759" si="64">SUM(D751:E751)</f>
        <v>0</v>
      </c>
      <c r="D751" s="986"/>
      <c r="E751" s="990"/>
      <c r="F751" s="893">
        <f t="shared" si="62"/>
        <v>0</v>
      </c>
    </row>
    <row r="752" spans="1:6" s="13" customFormat="1" ht="18.75" hidden="1" x14ac:dyDescent="0.3">
      <c r="A752" s="973"/>
      <c r="B752" s="891"/>
      <c r="C752" s="986">
        <f t="shared" si="64"/>
        <v>0</v>
      </c>
      <c r="D752" s="986"/>
      <c r="E752" s="990"/>
      <c r="F752" s="893">
        <f t="shared" si="62"/>
        <v>0</v>
      </c>
    </row>
    <row r="753" spans="1:6" s="13" customFormat="1" ht="18.75" hidden="1" x14ac:dyDescent="0.3">
      <c r="A753" s="973"/>
      <c r="B753" s="891"/>
      <c r="C753" s="986">
        <f t="shared" si="64"/>
        <v>0</v>
      </c>
      <c r="D753" s="986"/>
      <c r="E753" s="990"/>
      <c r="F753" s="893">
        <f t="shared" si="62"/>
        <v>0</v>
      </c>
    </row>
    <row r="754" spans="1:6" s="13" customFormat="1" ht="18.75" hidden="1" x14ac:dyDescent="0.3">
      <c r="A754" s="973"/>
      <c r="B754" s="891"/>
      <c r="C754" s="986">
        <f t="shared" si="64"/>
        <v>0</v>
      </c>
      <c r="D754" s="986"/>
      <c r="E754" s="990"/>
      <c r="F754" s="893">
        <f t="shared" si="62"/>
        <v>0</v>
      </c>
    </row>
    <row r="755" spans="1:6" s="13" customFormat="1" ht="18.75" hidden="1" x14ac:dyDescent="0.3">
      <c r="A755" s="973"/>
      <c r="B755" s="891"/>
      <c r="C755" s="986">
        <f t="shared" si="64"/>
        <v>0</v>
      </c>
      <c r="D755" s="986"/>
      <c r="E755" s="990"/>
      <c r="F755" s="893">
        <f t="shared" si="62"/>
        <v>0</v>
      </c>
    </row>
    <row r="756" spans="1:6" s="13" customFormat="1" ht="18.75" hidden="1" x14ac:dyDescent="0.3">
      <c r="A756" s="973"/>
      <c r="B756" s="891"/>
      <c r="C756" s="986">
        <f t="shared" si="64"/>
        <v>0</v>
      </c>
      <c r="D756" s="986"/>
      <c r="E756" s="990"/>
      <c r="F756" s="893">
        <f t="shared" si="62"/>
        <v>0</v>
      </c>
    </row>
    <row r="757" spans="1:6" s="13" customFormat="1" ht="18.75" hidden="1" x14ac:dyDescent="0.3">
      <c r="A757" s="973"/>
      <c r="B757" s="891"/>
      <c r="C757" s="986">
        <f t="shared" si="64"/>
        <v>0</v>
      </c>
      <c r="D757" s="986"/>
      <c r="E757" s="990"/>
      <c r="F757" s="893">
        <f t="shared" si="62"/>
        <v>0</v>
      </c>
    </row>
    <row r="758" spans="1:6" s="13" customFormat="1" ht="18.75" hidden="1" x14ac:dyDescent="0.3">
      <c r="A758" s="973"/>
      <c r="B758" s="891"/>
      <c r="C758" s="986">
        <f t="shared" si="64"/>
        <v>0</v>
      </c>
      <c r="D758" s="986"/>
      <c r="E758" s="990"/>
      <c r="F758" s="893">
        <f t="shared" si="62"/>
        <v>0</v>
      </c>
    </row>
    <row r="759" spans="1:6" s="13" customFormat="1" ht="18.75" hidden="1" x14ac:dyDescent="0.3">
      <c r="A759" s="973"/>
      <c r="B759" s="891"/>
      <c r="C759" s="986">
        <f t="shared" si="64"/>
        <v>0</v>
      </c>
      <c r="D759" s="986"/>
      <c r="E759" s="990"/>
      <c r="F759" s="893">
        <f t="shared" si="62"/>
        <v>0</v>
      </c>
    </row>
    <row r="760" spans="1:6" s="13" customFormat="1" ht="18.75" hidden="1" x14ac:dyDescent="0.3">
      <c r="A760" s="974"/>
      <c r="B760" s="891" t="s">
        <v>740</v>
      </c>
      <c r="C760" s="986">
        <f>SUM(C750:C759)</f>
        <v>0</v>
      </c>
      <c r="D760" s="986">
        <f>SUM(D750:D759)</f>
        <v>0</v>
      </c>
      <c r="E760" s="986">
        <f>SUM(E750:E759)</f>
        <v>0</v>
      </c>
      <c r="F760" s="893">
        <f t="shared" si="62"/>
        <v>0</v>
      </c>
    </row>
    <row r="761" spans="1:6" s="13" customFormat="1" ht="18.75" hidden="1" x14ac:dyDescent="0.3">
      <c r="A761" s="1669" t="s">
        <v>1754</v>
      </c>
      <c r="B761" s="891"/>
      <c r="C761" s="986"/>
      <c r="D761" s="986"/>
      <c r="E761" s="990"/>
      <c r="F761" s="893">
        <f t="shared" si="62"/>
        <v>0</v>
      </c>
    </row>
    <row r="762" spans="1:6" s="13" customFormat="1" ht="18.75" hidden="1" x14ac:dyDescent="0.3">
      <c r="A762" s="1667"/>
      <c r="B762" s="85"/>
      <c r="C762" s="986"/>
      <c r="D762" s="986"/>
      <c r="E762" s="990"/>
      <c r="F762" s="893">
        <f t="shared" si="62"/>
        <v>0</v>
      </c>
    </row>
    <row r="763" spans="1:6" s="13" customFormat="1" ht="18.75" hidden="1" x14ac:dyDescent="0.3">
      <c r="A763" s="1667"/>
      <c r="B763" s="999"/>
      <c r="C763" s="986"/>
      <c r="D763" s="986"/>
      <c r="E763" s="990"/>
      <c r="F763" s="893">
        <f t="shared" si="62"/>
        <v>0</v>
      </c>
    </row>
    <row r="764" spans="1:6" s="13" customFormat="1" ht="18.75" hidden="1" x14ac:dyDescent="0.3">
      <c r="A764" s="1667"/>
      <c r="B764" s="999"/>
      <c r="C764" s="986"/>
      <c r="D764" s="986"/>
      <c r="E764" s="990"/>
      <c r="F764" s="893">
        <f t="shared" si="62"/>
        <v>0</v>
      </c>
    </row>
    <row r="765" spans="1:6" s="13" customFormat="1" ht="18.75" hidden="1" x14ac:dyDescent="0.3">
      <c r="A765" s="1667"/>
      <c r="B765" s="891"/>
      <c r="C765" s="987"/>
      <c r="D765" s="987"/>
      <c r="E765" s="987"/>
      <c r="F765" s="893">
        <f t="shared" si="62"/>
        <v>0</v>
      </c>
    </row>
    <row r="766" spans="1:6" s="13" customFormat="1" ht="18.75" hidden="1" x14ac:dyDescent="0.3">
      <c r="A766" s="1667"/>
      <c r="B766" s="891"/>
      <c r="C766" s="987"/>
      <c r="D766" s="987"/>
      <c r="E766" s="987"/>
      <c r="F766" s="893">
        <f t="shared" si="62"/>
        <v>0</v>
      </c>
    </row>
    <row r="767" spans="1:6" s="13" customFormat="1" ht="18.75" hidden="1" x14ac:dyDescent="0.3">
      <c r="A767" s="1667"/>
      <c r="B767" s="85"/>
      <c r="C767" s="992"/>
      <c r="D767" s="992"/>
      <c r="E767" s="992"/>
      <c r="F767" s="893">
        <f t="shared" si="62"/>
        <v>0</v>
      </c>
    </row>
    <row r="768" spans="1:6" s="13" customFormat="1" ht="18.75" hidden="1" x14ac:dyDescent="0.3">
      <c r="A768" s="1667"/>
      <c r="B768" s="998"/>
      <c r="C768" s="992"/>
      <c r="D768" s="992"/>
      <c r="E768" s="992"/>
      <c r="F768" s="893">
        <f t="shared" si="62"/>
        <v>0</v>
      </c>
    </row>
    <row r="769" spans="1:6" s="13" customFormat="1" ht="18.75" hidden="1" x14ac:dyDescent="0.3">
      <c r="A769" s="1667"/>
      <c r="B769" s="891"/>
      <c r="C769" s="987"/>
      <c r="D769" s="987"/>
      <c r="E769" s="987"/>
      <c r="F769" s="893">
        <f t="shared" si="62"/>
        <v>0</v>
      </c>
    </row>
    <row r="770" spans="1:6" s="13" customFormat="1" ht="18.75" hidden="1" x14ac:dyDescent="0.3">
      <c r="A770" s="1667"/>
      <c r="B770" s="891"/>
      <c r="C770" s="987"/>
      <c r="D770" s="987"/>
      <c r="E770" s="987"/>
      <c r="F770" s="893">
        <f t="shared" si="62"/>
        <v>0</v>
      </c>
    </row>
    <row r="771" spans="1:6" s="13" customFormat="1" ht="18.75" hidden="1" x14ac:dyDescent="0.3">
      <c r="A771" s="1667"/>
      <c r="B771" s="891"/>
      <c r="C771" s="987"/>
      <c r="D771" s="987"/>
      <c r="E771" s="987"/>
      <c r="F771" s="893">
        <f t="shared" si="62"/>
        <v>0</v>
      </c>
    </row>
    <row r="772" spans="1:6" s="13" customFormat="1" ht="18.75" hidden="1" x14ac:dyDescent="0.3">
      <c r="A772" s="1667"/>
      <c r="B772" s="891"/>
      <c r="C772" s="987"/>
      <c r="D772" s="987"/>
      <c r="E772" s="987"/>
      <c r="F772" s="893">
        <f t="shared" si="62"/>
        <v>0</v>
      </c>
    </row>
    <row r="773" spans="1:6" s="13" customFormat="1" ht="18.75" hidden="1" x14ac:dyDescent="0.3">
      <c r="A773" s="1667"/>
      <c r="B773" s="947"/>
      <c r="C773" s="1002"/>
      <c r="D773" s="1003"/>
      <c r="E773" s="987"/>
      <c r="F773" s="893">
        <f t="shared" si="62"/>
        <v>0</v>
      </c>
    </row>
    <row r="774" spans="1:6" s="13" customFormat="1" ht="18.75" hidden="1" x14ac:dyDescent="0.3">
      <c r="A774" s="1667"/>
      <c r="B774" s="998"/>
      <c r="C774" s="987"/>
      <c r="D774" s="987"/>
      <c r="E774" s="987"/>
      <c r="F774" s="893">
        <f t="shared" si="62"/>
        <v>0</v>
      </c>
    </row>
    <row r="775" spans="1:6" s="13" customFormat="1" ht="18.75" hidden="1" x14ac:dyDescent="0.3">
      <c r="A775" s="1667"/>
      <c r="B775" s="998"/>
      <c r="C775" s="987"/>
      <c r="D775" s="987"/>
      <c r="E775" s="987"/>
      <c r="F775" s="893">
        <f t="shared" si="62"/>
        <v>0</v>
      </c>
    </row>
    <row r="776" spans="1:6" s="13" customFormat="1" ht="18.75" hidden="1" x14ac:dyDescent="0.3">
      <c r="A776" s="1667"/>
      <c r="B776" s="998"/>
      <c r="C776" s="987"/>
      <c r="D776" s="987"/>
      <c r="E776" s="987"/>
      <c r="F776" s="893">
        <f t="shared" si="62"/>
        <v>0</v>
      </c>
    </row>
    <row r="777" spans="1:6" s="13" customFormat="1" ht="18.75" hidden="1" x14ac:dyDescent="0.3">
      <c r="A777" s="1667"/>
      <c r="B777" s="998"/>
      <c r="C777" s="987"/>
      <c r="D777" s="987"/>
      <c r="E777" s="987"/>
      <c r="F777" s="893">
        <f t="shared" si="62"/>
        <v>0</v>
      </c>
    </row>
    <row r="778" spans="1:6" s="13" customFormat="1" ht="18.75" hidden="1" x14ac:dyDescent="0.3">
      <c r="A778" s="1667"/>
      <c r="B778" s="998"/>
      <c r="C778" s="987"/>
      <c r="D778" s="987"/>
      <c r="E778" s="987"/>
      <c r="F778" s="893">
        <f t="shared" si="62"/>
        <v>0</v>
      </c>
    </row>
    <row r="779" spans="1:6" s="13" customFormat="1" ht="18.75" hidden="1" x14ac:dyDescent="0.3">
      <c r="A779" s="1667"/>
      <c r="B779" s="891"/>
      <c r="C779" s="987"/>
      <c r="D779" s="987"/>
      <c r="E779" s="987"/>
      <c r="F779" s="893">
        <f t="shared" si="62"/>
        <v>0</v>
      </c>
    </row>
    <row r="780" spans="1:6" s="13" customFormat="1" ht="18.75" hidden="1" x14ac:dyDescent="0.3">
      <c r="A780" s="1667"/>
      <c r="B780" s="85"/>
      <c r="C780" s="987"/>
      <c r="D780" s="987"/>
      <c r="E780" s="987"/>
      <c r="F780" s="893">
        <f t="shared" ref="F780:F787" si="65">C780</f>
        <v>0</v>
      </c>
    </row>
    <row r="781" spans="1:6" s="13" customFormat="1" ht="18.75" hidden="1" x14ac:dyDescent="0.3">
      <c r="A781" s="1667"/>
      <c r="B781" s="85"/>
      <c r="C781" s="987"/>
      <c r="D781" s="987"/>
      <c r="E781" s="987"/>
      <c r="F781" s="893">
        <f t="shared" si="65"/>
        <v>0</v>
      </c>
    </row>
    <row r="782" spans="1:6" s="13" customFormat="1" ht="18.75" hidden="1" x14ac:dyDescent="0.3">
      <c r="A782" s="1858"/>
      <c r="B782" s="1004"/>
      <c r="C782" s="1005"/>
      <c r="D782" s="1006"/>
      <c r="E782" s="1005"/>
      <c r="F782" s="893">
        <f t="shared" si="65"/>
        <v>0</v>
      </c>
    </row>
    <row r="783" spans="1:6" s="13" customFormat="1" ht="18.75" hidden="1" x14ac:dyDescent="0.3">
      <c r="A783" s="1667"/>
      <c r="B783" s="85"/>
      <c r="C783" s="987"/>
      <c r="D783" s="991"/>
      <c r="E783" s="987"/>
      <c r="F783" s="893">
        <f t="shared" si="65"/>
        <v>0</v>
      </c>
    </row>
    <row r="784" spans="1:6" s="13" customFormat="1" ht="18.75" hidden="1" x14ac:dyDescent="0.3">
      <c r="A784" s="1667"/>
      <c r="B784" s="85"/>
      <c r="C784" s="987"/>
      <c r="D784" s="987"/>
      <c r="E784" s="991"/>
      <c r="F784" s="893">
        <f t="shared" si="65"/>
        <v>0</v>
      </c>
    </row>
    <row r="785" spans="1:6" s="13" customFormat="1" ht="18.75" hidden="1" x14ac:dyDescent="0.3">
      <c r="A785" s="1667"/>
      <c r="B785" s="85"/>
      <c r="C785" s="987"/>
      <c r="D785" s="987"/>
      <c r="E785" s="991"/>
      <c r="F785" s="893">
        <f t="shared" si="65"/>
        <v>0</v>
      </c>
    </row>
    <row r="786" spans="1:6" s="13" customFormat="1" ht="18.75" hidden="1" x14ac:dyDescent="0.3">
      <c r="A786" s="1859"/>
      <c r="B786" s="1004" t="s">
        <v>740</v>
      </c>
      <c r="C786" s="1007">
        <f>SUM(C761:C785)</f>
        <v>0</v>
      </c>
      <c r="D786" s="1007">
        <f>SUM(D761:D785)</f>
        <v>0</v>
      </c>
      <c r="E786" s="1007">
        <f>SUM(E761:E785)</f>
        <v>0</v>
      </c>
      <c r="F786" s="893">
        <f t="shared" si="65"/>
        <v>0</v>
      </c>
    </row>
    <row r="787" spans="1:6" ht="18.75" x14ac:dyDescent="0.3">
      <c r="A787" s="846"/>
      <c r="B787" s="1067" t="s">
        <v>1210</v>
      </c>
      <c r="C787" s="1454">
        <f>C21+C32+C43+C54+C65+C76+C87+C98+C109+C120+C131+C142+C153+C164+C175+C186+C197+C208+C219+C230+C241+C252+C263+C274+C285+C296+C307+C318+C329+C340+C351+C362+C376+C387+C398+C409+C426+C437+C448+C459+C470+C481+C492+C503+C514+C525+C536+C547+C572+C583+C594+C605+C616+C627+C639+C650+C661+C672+C683+C694+C705+C716+C727+C738+C749+C760+C786</f>
        <v>3481257</v>
      </c>
      <c r="D787" s="1454">
        <f>D21+D32+D43+D54+D65+D76+D87+D98+D109+D120+D131+D142+D153+D164+D175+D186+D197+D208+D219+D230+D241+D252+D263+D274+D285+D296+D307+D318+D329+D340+D351+D362+D376+D387+D398+D409+D426+D437+D448+D459+D470+D481+D492+D503+D514+D525+D536+D547+D572+D583+D594+D605+D616+D627+D639+D650+D661+D672+D683+D694+D705+D716+D727+D738+D749+D760+D786</f>
        <v>1143790</v>
      </c>
      <c r="E787" s="1454">
        <f>E21+E32+E43+E54+E65+E76+E87+E98+E109+E120+E131+E142+E153+E164+E175+E186+E197+E208+E219+E230+E241+E252+E263+E274+E285+E296+E307+E318+E329+E340+E351+E362+E376+E387+E398+E409+E426+E437+E448+E459+E470+E481+E492+E503+E514+E525+E536+E547+E572+E583+E594+E605+E616+E627+E639+E650+E661+E672+E683+E694+E705+E716+E727+E738+E749+E760+E786</f>
        <v>2337467</v>
      </c>
      <c r="F787" s="1525">
        <f t="shared" si="65"/>
        <v>3481257</v>
      </c>
    </row>
    <row r="788" spans="1:6" ht="33.75" customHeight="1" x14ac:dyDescent="0.3">
      <c r="A788" s="1531"/>
      <c r="B788" s="1532"/>
      <c r="C788" s="1533"/>
      <c r="D788" s="1533"/>
      <c r="E788" s="1533"/>
      <c r="F788" s="1534">
        <v>1</v>
      </c>
    </row>
    <row r="789" spans="1:6" ht="33.75" customHeight="1" x14ac:dyDescent="0.3">
      <c r="A789" s="1509" t="s">
        <v>174</v>
      </c>
      <c r="B789" s="1535"/>
      <c r="C789" s="1536"/>
      <c r="D789" s="1537"/>
      <c r="E789" s="1538" t="s">
        <v>1171</v>
      </c>
      <c r="F789" s="1534">
        <v>1</v>
      </c>
    </row>
    <row r="790" spans="1:6" ht="33.75" hidden="1" customHeight="1" x14ac:dyDescent="0.3">
      <c r="E790" s="1541"/>
      <c r="F790" s="1534">
        <v>1</v>
      </c>
    </row>
    <row r="791" spans="1:6" ht="33.75" hidden="1" customHeight="1" x14ac:dyDescent="0.3">
      <c r="A791" s="1531"/>
      <c r="B791" s="1532"/>
      <c r="C791" s="1533"/>
      <c r="D791" s="1533"/>
      <c r="E791" s="1533"/>
      <c r="F791" s="1534">
        <v>1</v>
      </c>
    </row>
    <row r="792" spans="1:6" ht="33.75" hidden="1" customHeight="1" x14ac:dyDescent="0.3">
      <c r="C792" s="1542" t="b">
        <f>C787='Додаток 5_В'!D214</f>
        <v>1</v>
      </c>
      <c r="D792" s="1542" t="b">
        <f>D787=дод3!F76</f>
        <v>1</v>
      </c>
      <c r="E792" s="1542" t="b">
        <f>E787=дод3!I76</f>
        <v>1</v>
      </c>
      <c r="F792" s="1534">
        <v>1</v>
      </c>
    </row>
    <row r="793" spans="1:6" s="1547" customFormat="1" ht="33.75" hidden="1" customHeight="1" x14ac:dyDescent="0.3">
      <c r="A793" s="1543"/>
      <c r="B793" s="1544"/>
      <c r="C793" s="1545"/>
      <c r="D793" s="1545"/>
      <c r="E793" s="1546"/>
      <c r="F793" s="1534">
        <v>1</v>
      </c>
    </row>
    <row r="794" spans="1:6" ht="33.75" hidden="1" customHeight="1" x14ac:dyDescent="0.3">
      <c r="C794" s="1542"/>
      <c r="D794" s="1542"/>
      <c r="E794" s="1548"/>
      <c r="F794" s="1534">
        <v>1</v>
      </c>
    </row>
    <row r="795" spans="1:6" ht="33.75" hidden="1" customHeight="1" x14ac:dyDescent="0.3">
      <c r="A795" s="1523"/>
      <c r="B795" s="1515"/>
      <c r="E795" s="1541"/>
      <c r="F795" s="1523">
        <v>1</v>
      </c>
    </row>
    <row r="796" spans="1:6" s="13" customFormat="1" ht="33.75" hidden="1" customHeight="1" x14ac:dyDescent="0.3">
      <c r="A796" s="159"/>
      <c r="B796" s="1010"/>
      <c r="C796" s="236"/>
      <c r="D796" s="236"/>
      <c r="E796" s="76"/>
    </row>
    <row r="797" spans="1:6" s="13" customFormat="1" ht="33.75" hidden="1" customHeight="1" x14ac:dyDescent="0.3">
      <c r="A797" s="159"/>
      <c r="B797" s="1010" t="s">
        <v>63</v>
      </c>
      <c r="C797" s="235">
        <f>[2]дод1!C160</f>
        <v>2573300</v>
      </c>
      <c r="D797" s="235">
        <f>[2]дод1!D160</f>
        <v>759900</v>
      </c>
      <c r="E797" s="235">
        <f>[2]дод1!E160</f>
        <v>1813400</v>
      </c>
    </row>
    <row r="798" spans="1:6" s="228" customFormat="1" ht="33.75" hidden="1" customHeight="1" x14ac:dyDescent="0.3">
      <c r="A798" s="282"/>
      <c r="B798" s="1011" t="s">
        <v>678</v>
      </c>
      <c r="C798" s="284" t="b">
        <f>C797=C787</f>
        <v>0</v>
      </c>
      <c r="D798" s="284" t="b">
        <f>D797=D787</f>
        <v>0</v>
      </c>
      <c r="E798" s="284" t="b">
        <f>E797=E787</f>
        <v>0</v>
      </c>
    </row>
    <row r="799" spans="1:6" s="13" customFormat="1" ht="33.75" hidden="1" customHeight="1" x14ac:dyDescent="0.3">
      <c r="A799" s="159"/>
      <c r="B799" s="1010"/>
      <c r="C799" s="236"/>
      <c r="D799" s="236"/>
      <c r="E799" s="76"/>
    </row>
    <row r="800" spans="1:6" s="13" customFormat="1" ht="33.75" hidden="1" customHeight="1" x14ac:dyDescent="0.3">
      <c r="A800" s="159"/>
      <c r="B800" s="1010"/>
      <c r="C800" s="236"/>
      <c r="D800" s="236"/>
      <c r="E800" s="76"/>
    </row>
    <row r="801" spans="1:5" s="13" customFormat="1" ht="33.75" hidden="1" customHeight="1" x14ac:dyDescent="0.3">
      <c r="A801" s="159"/>
      <c r="B801" s="1010"/>
      <c r="C801" s="236"/>
      <c r="D801" s="236"/>
      <c r="E801" s="76"/>
    </row>
    <row r="802" spans="1:5" s="13" customFormat="1" ht="33.75" hidden="1" customHeight="1" x14ac:dyDescent="0.3">
      <c r="A802" s="159"/>
      <c r="B802" s="1010"/>
      <c r="C802" s="236"/>
      <c r="D802" s="236"/>
      <c r="E802" s="76"/>
    </row>
    <row r="803" spans="1:5" s="13" customFormat="1" ht="33.75" hidden="1" customHeight="1" x14ac:dyDescent="0.3">
      <c r="A803" s="159"/>
      <c r="B803" s="1010"/>
      <c r="C803" s="236"/>
      <c r="D803" s="236"/>
      <c r="E803" s="76"/>
    </row>
    <row r="804" spans="1:5" s="13" customFormat="1" ht="33.75" hidden="1" customHeight="1" x14ac:dyDescent="0.3">
      <c r="A804" s="159"/>
      <c r="B804" s="1010"/>
      <c r="C804" s="236"/>
      <c r="D804" s="236"/>
      <c r="E804" s="76"/>
    </row>
    <row r="805" spans="1:5" s="13" customFormat="1" ht="33.75" hidden="1" customHeight="1" x14ac:dyDescent="0.3">
      <c r="A805" s="159"/>
      <c r="B805" s="1010"/>
      <c r="C805" s="236"/>
      <c r="D805" s="236"/>
      <c r="E805" s="76"/>
    </row>
    <row r="806" spans="1:5" s="13" customFormat="1" ht="33.75" hidden="1" customHeight="1" x14ac:dyDescent="0.3">
      <c r="A806" s="159"/>
      <c r="B806" s="1010"/>
      <c r="C806" s="236"/>
      <c r="D806" s="236"/>
      <c r="E806" s="76"/>
    </row>
    <row r="807" spans="1:5" s="13" customFormat="1" ht="33.75" hidden="1" customHeight="1" x14ac:dyDescent="0.3">
      <c r="A807" s="159"/>
      <c r="B807" s="1010"/>
      <c r="C807" s="236"/>
      <c r="D807" s="236"/>
      <c r="E807" s="76"/>
    </row>
    <row r="808" spans="1:5" s="13" customFormat="1" ht="33.75" hidden="1" customHeight="1" x14ac:dyDescent="0.3">
      <c r="A808" s="159"/>
      <c r="B808" s="1010"/>
      <c r="C808" s="236"/>
      <c r="D808" s="236"/>
      <c r="E808" s="76"/>
    </row>
    <row r="809" spans="1:5" s="13" customFormat="1" ht="33.75" hidden="1" customHeight="1" x14ac:dyDescent="0.3">
      <c r="A809" s="159"/>
      <c r="B809" s="1010"/>
      <c r="C809" s="236"/>
      <c r="D809" s="236"/>
      <c r="E809" s="76"/>
    </row>
    <row r="810" spans="1:5" s="13" customFormat="1" ht="33.75" hidden="1" customHeight="1" x14ac:dyDescent="0.3">
      <c r="A810" s="159"/>
      <c r="B810" s="1010"/>
      <c r="C810" s="236"/>
      <c r="D810" s="236"/>
      <c r="E810" s="76"/>
    </row>
    <row r="811" spans="1:5" s="13" customFormat="1" ht="33.75" hidden="1" customHeight="1" x14ac:dyDescent="0.3">
      <c r="A811" s="159"/>
      <c r="B811" s="1010"/>
      <c r="C811" s="236"/>
      <c r="D811" s="236"/>
      <c r="E811" s="76"/>
    </row>
    <row r="812" spans="1:5" s="13" customFormat="1" ht="33.75" hidden="1" customHeight="1" x14ac:dyDescent="0.3">
      <c r="A812" s="159"/>
      <c r="B812" s="1010"/>
      <c r="C812" s="236"/>
      <c r="D812" s="236"/>
      <c r="E812" s="76"/>
    </row>
    <row r="813" spans="1:5" s="13" customFormat="1" ht="33.75" hidden="1" customHeight="1" x14ac:dyDescent="0.3">
      <c r="A813" s="159"/>
      <c r="B813" s="1010"/>
      <c r="C813" s="236"/>
      <c r="D813" s="236"/>
      <c r="E813" s="76"/>
    </row>
    <row r="814" spans="1:5" s="13" customFormat="1" ht="33.75" hidden="1" customHeight="1" x14ac:dyDescent="0.3">
      <c r="A814" s="159"/>
      <c r="B814" s="1010"/>
      <c r="C814" s="236"/>
      <c r="D814" s="236"/>
      <c r="E814" s="76"/>
    </row>
    <row r="815" spans="1:5" s="13" customFormat="1" ht="33.75" hidden="1" customHeight="1" x14ac:dyDescent="0.3">
      <c r="A815" s="159"/>
      <c r="B815" s="1010"/>
      <c r="C815" s="236"/>
      <c r="D815" s="236"/>
      <c r="E815" s="76"/>
    </row>
    <row r="816" spans="1:5" s="13" customFormat="1" ht="33.75" hidden="1" customHeight="1" x14ac:dyDescent="0.3">
      <c r="A816" s="159"/>
      <c r="B816" s="1010"/>
      <c r="C816" s="236"/>
      <c r="D816" s="236"/>
      <c r="E816" s="76"/>
    </row>
    <row r="817" spans="1:5" s="13" customFormat="1" ht="33.75" hidden="1" customHeight="1" x14ac:dyDescent="0.3">
      <c r="A817" s="159"/>
      <c r="B817" s="1010"/>
      <c r="C817" s="236"/>
      <c r="D817" s="236"/>
      <c r="E817" s="76"/>
    </row>
    <row r="818" spans="1:5" s="13" customFormat="1" ht="33.75" hidden="1" customHeight="1" x14ac:dyDescent="0.3">
      <c r="A818" s="159"/>
      <c r="B818" s="1010"/>
      <c r="C818" s="236"/>
      <c r="D818" s="236"/>
      <c r="E818" s="76"/>
    </row>
    <row r="819" spans="1:5" s="13" customFormat="1" ht="33.75" hidden="1" customHeight="1" x14ac:dyDescent="0.3">
      <c r="A819" s="159"/>
      <c r="B819" s="1010"/>
      <c r="C819" s="236"/>
      <c r="D819" s="236"/>
      <c r="E819" s="76"/>
    </row>
    <row r="820" spans="1:5" s="13" customFormat="1" ht="33.75" hidden="1" customHeight="1" x14ac:dyDescent="0.3">
      <c r="A820" s="159"/>
      <c r="B820" s="1010"/>
      <c r="C820" s="236"/>
      <c r="D820" s="236"/>
      <c r="E820" s="76"/>
    </row>
    <row r="821" spans="1:5" s="13" customFormat="1" ht="33.75" hidden="1" customHeight="1" x14ac:dyDescent="0.3">
      <c r="A821" s="159"/>
      <c r="B821" s="1010"/>
      <c r="C821" s="236"/>
      <c r="D821" s="236"/>
      <c r="E821" s="76"/>
    </row>
    <row r="822" spans="1:5" s="13" customFormat="1" ht="33.75" hidden="1" customHeight="1" x14ac:dyDescent="0.3">
      <c r="A822" s="159"/>
      <c r="B822" s="1010"/>
      <c r="C822" s="236"/>
      <c r="D822" s="236"/>
      <c r="E822" s="76"/>
    </row>
    <row r="823" spans="1:5" s="13" customFormat="1" ht="33.75" hidden="1" customHeight="1" x14ac:dyDescent="0.3">
      <c r="A823" s="159"/>
      <c r="B823" s="1010"/>
      <c r="C823" s="236"/>
      <c r="D823" s="236"/>
      <c r="E823" s="76"/>
    </row>
    <row r="824" spans="1:5" s="13" customFormat="1" ht="33.75" hidden="1" customHeight="1" x14ac:dyDescent="0.3">
      <c r="A824" s="159"/>
      <c r="B824" s="1010"/>
      <c r="C824" s="236"/>
      <c r="D824" s="236"/>
      <c r="E824" s="76"/>
    </row>
    <row r="825" spans="1:5" s="13" customFormat="1" ht="33.75" hidden="1" customHeight="1" x14ac:dyDescent="0.3">
      <c r="A825" s="159"/>
      <c r="B825" s="1010"/>
      <c r="C825" s="236"/>
      <c r="D825" s="236"/>
      <c r="E825" s="76"/>
    </row>
    <row r="826" spans="1:5" s="13" customFormat="1" ht="33.75" hidden="1" customHeight="1" x14ac:dyDescent="0.3">
      <c r="A826" s="159"/>
      <c r="B826" s="1010"/>
      <c r="C826" s="236"/>
      <c r="D826" s="236"/>
      <c r="E826" s="76"/>
    </row>
    <row r="827" spans="1:5" s="13" customFormat="1" ht="33.75" hidden="1" customHeight="1" x14ac:dyDescent="0.3">
      <c r="A827" s="159"/>
      <c r="B827" s="1010"/>
      <c r="C827" s="236"/>
      <c r="D827" s="236"/>
      <c r="E827" s="76"/>
    </row>
    <row r="828" spans="1:5" s="13" customFormat="1" ht="33.75" hidden="1" customHeight="1" x14ac:dyDescent="0.3">
      <c r="A828" s="159"/>
      <c r="B828" s="1010"/>
      <c r="C828" s="236"/>
      <c r="D828" s="236"/>
      <c r="E828" s="76"/>
    </row>
    <row r="829" spans="1:5" s="13" customFormat="1" ht="33.75" hidden="1" customHeight="1" x14ac:dyDescent="0.3">
      <c r="A829" s="159"/>
      <c r="B829" s="1010"/>
      <c r="C829" s="236"/>
      <c r="D829" s="236"/>
      <c r="E829" s="76"/>
    </row>
    <row r="830" spans="1:5" s="13" customFormat="1" ht="33.75" hidden="1" customHeight="1" x14ac:dyDescent="0.3">
      <c r="A830" s="159"/>
      <c r="B830" s="1010"/>
      <c r="C830" s="236"/>
      <c r="D830" s="236"/>
      <c r="E830" s="76"/>
    </row>
    <row r="831" spans="1:5" s="13" customFormat="1" ht="33.75" hidden="1" customHeight="1" x14ac:dyDescent="0.3">
      <c r="A831" s="159"/>
      <c r="B831" s="1010"/>
      <c r="C831" s="236"/>
      <c r="D831" s="236"/>
      <c r="E831" s="76"/>
    </row>
    <row r="832" spans="1:5" s="13" customFormat="1" ht="33.75" hidden="1" customHeight="1" x14ac:dyDescent="0.3">
      <c r="A832" s="159"/>
      <c r="B832" s="1010"/>
      <c r="C832" s="236"/>
      <c r="D832" s="236"/>
      <c r="E832" s="76"/>
    </row>
    <row r="833" spans="1:5" s="13" customFormat="1" ht="33.75" hidden="1" customHeight="1" x14ac:dyDescent="0.3">
      <c r="A833" s="159"/>
      <c r="B833" s="1010"/>
      <c r="C833" s="236"/>
      <c r="D833" s="236"/>
      <c r="E833" s="76"/>
    </row>
    <row r="834" spans="1:5" s="13" customFormat="1" ht="33.75" hidden="1" customHeight="1" x14ac:dyDescent="0.3">
      <c r="A834" s="159"/>
      <c r="B834" s="1010"/>
      <c r="C834" s="236"/>
      <c r="D834" s="236"/>
      <c r="E834" s="76"/>
    </row>
    <row r="835" spans="1:5" s="13" customFormat="1" ht="33.75" hidden="1" customHeight="1" x14ac:dyDescent="0.3">
      <c r="A835" s="159"/>
      <c r="B835" s="1010"/>
      <c r="C835" s="236"/>
      <c r="D835" s="236"/>
      <c r="E835" s="76"/>
    </row>
    <row r="836" spans="1:5" s="13" customFormat="1" ht="33.75" hidden="1" customHeight="1" x14ac:dyDescent="0.3">
      <c r="A836" s="159"/>
      <c r="B836" s="1010"/>
      <c r="C836" s="236"/>
      <c r="D836" s="236"/>
      <c r="E836" s="76"/>
    </row>
    <row r="837" spans="1:5" s="13" customFormat="1" ht="33.75" hidden="1" customHeight="1" x14ac:dyDescent="0.3">
      <c r="A837" s="159"/>
      <c r="B837" s="1010"/>
      <c r="C837" s="236"/>
      <c r="D837" s="236"/>
      <c r="E837" s="76"/>
    </row>
    <row r="838" spans="1:5" s="13" customFormat="1" ht="33.75" hidden="1" customHeight="1" x14ac:dyDescent="0.3">
      <c r="A838" s="159"/>
      <c r="B838" s="1010"/>
      <c r="C838" s="236"/>
      <c r="D838" s="236"/>
      <c r="E838" s="76"/>
    </row>
    <row r="839" spans="1:5" s="13" customFormat="1" ht="33.75" hidden="1" customHeight="1" x14ac:dyDescent="0.3">
      <c r="A839" s="159"/>
      <c r="B839" s="1010"/>
      <c r="C839" s="236"/>
      <c r="D839" s="236"/>
      <c r="E839" s="76"/>
    </row>
    <row r="840" spans="1:5" s="13" customFormat="1" ht="33.75" hidden="1" customHeight="1" x14ac:dyDescent="0.3">
      <c r="A840" s="159"/>
      <c r="B840" s="1010"/>
      <c r="C840" s="236"/>
      <c r="D840" s="236"/>
      <c r="E840" s="76"/>
    </row>
    <row r="841" spans="1:5" s="13" customFormat="1" ht="33.75" hidden="1" customHeight="1" x14ac:dyDescent="0.3">
      <c r="A841" s="159"/>
      <c r="B841" s="1010"/>
      <c r="C841" s="236"/>
      <c r="D841" s="236"/>
      <c r="E841" s="76"/>
    </row>
    <row r="842" spans="1:5" s="13" customFormat="1" ht="33.75" hidden="1" customHeight="1" x14ac:dyDescent="0.3">
      <c r="A842" s="159"/>
      <c r="B842" s="1010"/>
      <c r="C842" s="236"/>
      <c r="D842" s="236"/>
      <c r="E842" s="76"/>
    </row>
    <row r="843" spans="1:5" s="13" customFormat="1" ht="33.75" hidden="1" customHeight="1" x14ac:dyDescent="0.3">
      <c r="A843" s="159"/>
      <c r="B843" s="1010"/>
      <c r="C843" s="236"/>
      <c r="D843" s="236"/>
      <c r="E843" s="76"/>
    </row>
    <row r="844" spans="1:5" s="13" customFormat="1" ht="33.75" hidden="1" customHeight="1" x14ac:dyDescent="0.3">
      <c r="A844" s="159"/>
      <c r="B844" s="1010"/>
      <c r="C844" s="236"/>
      <c r="D844" s="236"/>
      <c r="E844" s="76"/>
    </row>
    <row r="845" spans="1:5" s="13" customFormat="1" ht="33.75" hidden="1" customHeight="1" x14ac:dyDescent="0.3">
      <c r="A845" s="159"/>
      <c r="B845" s="1010"/>
      <c r="C845" s="236"/>
      <c r="D845" s="236"/>
      <c r="E845" s="76"/>
    </row>
  </sheetData>
  <autoFilter ref="A1:F845">
    <filterColumn colId="5">
      <customFilters and="1">
        <customFilter operator="greaterThan" val="0"/>
      </customFilters>
    </filterColumn>
  </autoFilter>
  <mergeCells count="16">
    <mergeCell ref="A573:A583"/>
    <mergeCell ref="A628:A639"/>
    <mergeCell ref="A640:A650"/>
    <mergeCell ref="A684:A694"/>
    <mergeCell ref="A739:A749"/>
    <mergeCell ref="A761:A786"/>
    <mergeCell ref="A4:E4"/>
    <mergeCell ref="A242:A243"/>
    <mergeCell ref="A363:A376"/>
    <mergeCell ref="A427:A437"/>
    <mergeCell ref="A438:A448"/>
    <mergeCell ref="A548:A572"/>
    <mergeCell ref="A8:A9"/>
    <mergeCell ref="B8:B9"/>
    <mergeCell ref="C8:C9"/>
    <mergeCell ref="D8:E8"/>
  </mergeCells>
  <printOptions horizontalCentered="1"/>
  <pageMargins left="0.39370078740157483" right="0" top="7.874015748031496E-2" bottom="0" header="0" footer="0"/>
  <pageSetup paperSize="9" scale="60" orientation="portrait" r:id="rId1"/>
  <headerFooter alignWithMargins="0"/>
  <rowBreaks count="1" manualBreakCount="1">
    <brk id="427"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filterMode="1">
    <tabColor rgb="FFC00000"/>
  </sheetPr>
  <dimension ref="A1:O285"/>
  <sheetViews>
    <sheetView showZeros="0" view="pageBreakPreview" zoomScale="60" zoomScaleNormal="75" workbookViewId="0">
      <pane xSplit="5" ySplit="10" topLeftCell="F118" activePane="bottomRight" state="frozen"/>
      <selection pane="topRight" activeCell="F1" sqref="F1"/>
      <selection pane="bottomLeft" activeCell="A20" sqref="A20"/>
      <selection pane="bottomRight" activeCell="A258" sqref="A258:IV285"/>
    </sheetView>
  </sheetViews>
  <sheetFormatPr defaultColWidth="8.85546875" defaultRowHeight="18" x14ac:dyDescent="0.25"/>
  <cols>
    <col min="1" max="1" width="19.85546875" style="66" customWidth="1"/>
    <col min="2" max="3" width="19.28515625" style="66" customWidth="1"/>
    <col min="4" max="4" width="49.28515625" style="66" customWidth="1"/>
    <col min="5" max="5" width="91.85546875" style="66" customWidth="1"/>
    <col min="6" max="6" width="20.7109375" style="66" customWidth="1"/>
    <col min="7" max="7" width="22.28515625" style="66" customWidth="1"/>
    <col min="8" max="8" width="19.140625" style="66" customWidth="1"/>
    <col min="9" max="9" width="20" style="66" customWidth="1"/>
    <col min="10" max="10" width="21.7109375" style="515" customWidth="1"/>
    <col min="11" max="11" width="21.42578125" style="66" hidden="1" customWidth="1"/>
    <col min="12" max="12" width="22.85546875" style="66" hidden="1" customWidth="1"/>
    <col min="13" max="13" width="18" style="66" hidden="1" customWidth="1"/>
    <col min="14" max="14" width="19.42578125" style="66" hidden="1" customWidth="1"/>
    <col min="15" max="15" width="21.7109375" style="66" hidden="1" customWidth="1"/>
    <col min="16" max="16" width="10.85546875" style="66" bestFit="1" customWidth="1"/>
    <col min="17" max="17" width="14.7109375" style="66" bestFit="1" customWidth="1"/>
    <col min="18" max="16384" width="8.85546875" style="66"/>
  </cols>
  <sheetData>
    <row r="1" spans="1:13" ht="18.75" x14ac:dyDescent="0.3">
      <c r="A1" s="80"/>
      <c r="B1" s="80"/>
      <c r="C1" s="80"/>
      <c r="D1" s="80"/>
      <c r="E1" s="80"/>
      <c r="F1" s="80"/>
      <c r="I1" s="25" t="s">
        <v>237</v>
      </c>
      <c r="J1" s="152"/>
      <c r="K1" s="25"/>
      <c r="L1" s="66">
        <v>1</v>
      </c>
    </row>
    <row r="2" spans="1:13" ht="18.75" x14ac:dyDescent="0.3">
      <c r="A2" s="80"/>
      <c r="B2" s="80"/>
      <c r="C2" s="80"/>
      <c r="D2" s="80"/>
      <c r="E2" s="80"/>
      <c r="F2" s="80"/>
      <c r="I2" s="25" t="s">
        <v>274</v>
      </c>
      <c r="J2" s="152"/>
      <c r="K2" s="25"/>
      <c r="L2" s="66">
        <v>1</v>
      </c>
    </row>
    <row r="3" spans="1:13" ht="18.75" x14ac:dyDescent="0.3">
      <c r="A3" s="80"/>
      <c r="B3" s="80"/>
      <c r="C3" s="80"/>
      <c r="D3" s="80"/>
      <c r="E3" s="80"/>
      <c r="F3" s="80"/>
      <c r="I3" s="502" t="s">
        <v>1417</v>
      </c>
      <c r="J3" s="152"/>
      <c r="K3" s="25"/>
      <c r="L3" s="66">
        <v>1</v>
      </c>
    </row>
    <row r="4" spans="1:13" ht="13.15" customHeight="1" x14ac:dyDescent="0.25">
      <c r="A4" s="80"/>
      <c r="B4" s="80"/>
      <c r="C4" s="80"/>
      <c r="D4" s="80"/>
      <c r="E4" s="80"/>
      <c r="F4" s="80"/>
      <c r="G4" s="528"/>
      <c r="H4" s="528"/>
      <c r="I4" s="528"/>
      <c r="J4" s="602"/>
      <c r="K4" s="529"/>
      <c r="L4" s="530">
        <v>1</v>
      </c>
    </row>
    <row r="5" spans="1:13" ht="18.75" x14ac:dyDescent="0.3">
      <c r="A5" s="1897" t="s">
        <v>1173</v>
      </c>
      <c r="B5" s="1897"/>
      <c r="C5" s="1897"/>
      <c r="D5" s="1897"/>
      <c r="E5" s="1897"/>
      <c r="F5" s="1897"/>
      <c r="G5" s="1897"/>
      <c r="H5" s="1897"/>
      <c r="I5" s="1897"/>
      <c r="J5" s="1898"/>
      <c r="K5" s="317"/>
      <c r="L5" s="66">
        <v>1</v>
      </c>
    </row>
    <row r="6" spans="1:13" s="302" customFormat="1" ht="18.75" x14ac:dyDescent="0.3">
      <c r="A6" s="1688" t="s">
        <v>855</v>
      </c>
      <c r="B6" s="1688"/>
      <c r="C6" s="554"/>
      <c r="D6" s="554"/>
      <c r="E6" s="554"/>
      <c r="F6" s="554"/>
      <c r="G6" s="554"/>
      <c r="H6" s="554"/>
      <c r="I6" s="554"/>
      <c r="J6" s="603"/>
      <c r="K6" s="554"/>
      <c r="L6" s="66">
        <v>1</v>
      </c>
    </row>
    <row r="7" spans="1:13" s="302" customFormat="1" ht="18.75" x14ac:dyDescent="0.3">
      <c r="A7" s="1689" t="s">
        <v>856</v>
      </c>
      <c r="B7" s="1689"/>
      <c r="C7" s="554"/>
      <c r="D7" s="554"/>
      <c r="E7" s="554"/>
      <c r="F7" s="554"/>
      <c r="G7" s="554"/>
      <c r="H7" s="554"/>
      <c r="I7" s="554"/>
      <c r="J7" s="603"/>
      <c r="K7" s="554"/>
      <c r="L7" s="66">
        <v>1</v>
      </c>
    </row>
    <row r="8" spans="1:13" ht="18.75" x14ac:dyDescent="0.3">
      <c r="A8" s="80"/>
      <c r="B8" s="80"/>
      <c r="C8" s="80"/>
      <c r="D8" s="80"/>
      <c r="E8" s="80"/>
      <c r="F8" s="80"/>
      <c r="G8" s="80"/>
      <c r="H8" s="80"/>
      <c r="J8" s="604" t="s">
        <v>737</v>
      </c>
      <c r="K8" s="531"/>
      <c r="L8" s="66">
        <v>1</v>
      </c>
    </row>
    <row r="9" spans="1:13" ht="13.15" customHeight="1" x14ac:dyDescent="0.25">
      <c r="A9" s="1874" t="s">
        <v>900</v>
      </c>
      <c r="B9" s="1874" t="s">
        <v>901</v>
      </c>
      <c r="C9" s="1874" t="s">
        <v>750</v>
      </c>
      <c r="D9" s="1899" t="s">
        <v>899</v>
      </c>
      <c r="E9" s="1682" t="s">
        <v>893</v>
      </c>
      <c r="F9" s="1682" t="s">
        <v>894</v>
      </c>
      <c r="G9" s="1682" t="s">
        <v>895</v>
      </c>
      <c r="H9" s="1682" t="s">
        <v>898</v>
      </c>
      <c r="I9" s="1682" t="s">
        <v>896</v>
      </c>
      <c r="J9" s="1901" t="s">
        <v>897</v>
      </c>
      <c r="K9" s="161"/>
      <c r="L9" s="66">
        <v>1</v>
      </c>
    </row>
    <row r="10" spans="1:13" ht="142.15" customHeight="1" x14ac:dyDescent="0.25">
      <c r="A10" s="1875"/>
      <c r="B10" s="1875"/>
      <c r="C10" s="1875"/>
      <c r="D10" s="1900"/>
      <c r="E10" s="1683"/>
      <c r="F10" s="1683"/>
      <c r="G10" s="1683"/>
      <c r="H10" s="1683"/>
      <c r="I10" s="1683"/>
      <c r="J10" s="1901"/>
      <c r="K10" s="161"/>
      <c r="L10" s="66">
        <v>1</v>
      </c>
    </row>
    <row r="11" spans="1:13" ht="27.6" customHeight="1" x14ac:dyDescent="0.25">
      <c r="A11" s="532" t="s">
        <v>285</v>
      </c>
      <c r="B11" s="532" t="s">
        <v>286</v>
      </c>
      <c r="C11" s="532" t="s">
        <v>287</v>
      </c>
      <c r="D11" s="533">
        <v>4</v>
      </c>
      <c r="E11" s="164">
        <v>5</v>
      </c>
      <c r="F11" s="164">
        <v>6</v>
      </c>
      <c r="G11" s="164">
        <v>7</v>
      </c>
      <c r="H11" s="164">
        <v>8</v>
      </c>
      <c r="I11" s="164">
        <v>9</v>
      </c>
      <c r="J11" s="81">
        <v>10</v>
      </c>
      <c r="K11" s="161"/>
      <c r="L11" s="536">
        <v>1</v>
      </c>
    </row>
    <row r="12" spans="1:13" ht="27.6" hidden="1" customHeight="1" x14ac:dyDescent="0.25">
      <c r="A12" s="532"/>
      <c r="B12" s="532"/>
      <c r="C12" s="532"/>
      <c r="D12" s="533"/>
      <c r="E12" s="164"/>
      <c r="F12" s="164"/>
      <c r="G12" s="164"/>
      <c r="H12" s="164"/>
      <c r="I12" s="164"/>
      <c r="J12" s="87"/>
      <c r="K12" s="161"/>
      <c r="L12" s="536">
        <f>I12</f>
        <v>0</v>
      </c>
    </row>
    <row r="13" spans="1:13" ht="58.9" customHeight="1" x14ac:dyDescent="0.25">
      <c r="A13" s="580" t="s">
        <v>312</v>
      </c>
      <c r="B13" s="534"/>
      <c r="C13" s="534"/>
      <c r="D13" s="534" t="s">
        <v>1434</v>
      </c>
      <c r="E13" s="534"/>
      <c r="F13" s="579"/>
      <c r="G13" s="1128">
        <f>G14</f>
        <v>396779</v>
      </c>
      <c r="H13" s="1128"/>
      <c r="I13" s="1128">
        <f>I14</f>
        <v>651902</v>
      </c>
      <c r="J13" s="578"/>
      <c r="K13" s="161"/>
      <c r="L13" s="536">
        <f t="shared" ref="L13:L92" si="0">I13</f>
        <v>651902</v>
      </c>
    </row>
    <row r="14" spans="1:13" ht="56.45" customHeight="1" x14ac:dyDescent="0.25">
      <c r="A14" s="580" t="s">
        <v>313</v>
      </c>
      <c r="B14" s="534"/>
      <c r="C14" s="534"/>
      <c r="D14" s="534" t="s">
        <v>1434</v>
      </c>
      <c r="E14" s="534"/>
      <c r="F14" s="579"/>
      <c r="G14" s="1128">
        <f>G15+G16+G17</f>
        <v>396779</v>
      </c>
      <c r="H14" s="1128"/>
      <c r="I14" s="1128">
        <f>I15+I16+I17+I18</f>
        <v>651902</v>
      </c>
      <c r="J14" s="578"/>
      <c r="K14" s="161"/>
      <c r="L14" s="536">
        <f t="shared" si="0"/>
        <v>651902</v>
      </c>
    </row>
    <row r="15" spans="1:13" ht="57.6" customHeight="1" x14ac:dyDescent="0.25">
      <c r="A15" s="532" t="s">
        <v>974</v>
      </c>
      <c r="B15" s="532" t="s">
        <v>446</v>
      </c>
      <c r="C15" s="532" t="s">
        <v>411</v>
      </c>
      <c r="D15" s="609" t="s">
        <v>995</v>
      </c>
      <c r="E15" s="799" t="s">
        <v>1757</v>
      </c>
      <c r="F15" s="87">
        <v>2021</v>
      </c>
      <c r="G15" s="1454">
        <v>100000</v>
      </c>
      <c r="H15" s="1549"/>
      <c r="I15" s="1550">
        <v>100000</v>
      </c>
      <c r="J15" s="1551">
        <v>100</v>
      </c>
      <c r="K15" s="583">
        <f>дод3!O73</f>
        <v>100000</v>
      </c>
      <c r="L15" s="536">
        <f t="shared" si="0"/>
        <v>100000</v>
      </c>
      <c r="M15" s="66" t="s">
        <v>1006</v>
      </c>
    </row>
    <row r="16" spans="1:13" ht="57.6" hidden="1" customHeight="1" x14ac:dyDescent="0.25">
      <c r="A16" s="532"/>
      <c r="B16" s="532"/>
      <c r="C16" s="532"/>
      <c r="D16" s="609"/>
      <c r="E16" s="87"/>
      <c r="F16" s="164"/>
      <c r="G16" s="1012"/>
      <c r="H16" s="1013"/>
      <c r="I16" s="1014">
        <f>2500000-2500000</f>
        <v>0</v>
      </c>
      <c r="J16" s="1015"/>
      <c r="K16" s="583"/>
      <c r="L16" s="536">
        <f t="shared" si="0"/>
        <v>0</v>
      </c>
      <c r="M16" s="66" t="s">
        <v>1006</v>
      </c>
    </row>
    <row r="17" spans="1:15" ht="57.6" customHeight="1" x14ac:dyDescent="0.25">
      <c r="A17" s="1864" t="s">
        <v>1013</v>
      </c>
      <c r="B17" s="1864" t="s">
        <v>806</v>
      </c>
      <c r="C17" s="1864" t="s">
        <v>224</v>
      </c>
      <c r="D17" s="1866" t="s">
        <v>1764</v>
      </c>
      <c r="E17" s="799" t="s">
        <v>1758</v>
      </c>
      <c r="F17" s="87" t="s">
        <v>1393</v>
      </c>
      <c r="G17" s="1454">
        <v>296779</v>
      </c>
      <c r="H17" s="1552">
        <v>82.5</v>
      </c>
      <c r="I17" s="586">
        <v>51902</v>
      </c>
      <c r="J17" s="1553">
        <v>100</v>
      </c>
      <c r="K17" s="583">
        <f>дод3!O74</f>
        <v>1476902</v>
      </c>
      <c r="L17" s="536">
        <f t="shared" si="0"/>
        <v>51902</v>
      </c>
      <c r="M17" s="66" t="s">
        <v>1006</v>
      </c>
      <c r="N17" s="1583">
        <f>K17-I17-I18</f>
        <v>925000</v>
      </c>
    </row>
    <row r="18" spans="1:15" s="1410" customFormat="1" ht="75" x14ac:dyDescent="0.25">
      <c r="A18" s="1865"/>
      <c r="B18" s="1865"/>
      <c r="C18" s="1865"/>
      <c r="D18" s="1867"/>
      <c r="E18" s="1407" t="s">
        <v>2085</v>
      </c>
      <c r="F18" s="306">
        <v>2021</v>
      </c>
      <c r="G18" s="1554">
        <v>1603884</v>
      </c>
      <c r="H18" s="1555"/>
      <c r="I18" s="586">
        <v>500000</v>
      </c>
      <c r="J18" s="1556">
        <v>100</v>
      </c>
      <c r="K18" s="1408"/>
      <c r="L18" s="1409"/>
    </row>
    <row r="19" spans="1:15" ht="63.6" customHeight="1" x14ac:dyDescent="0.25">
      <c r="A19" s="580" t="s">
        <v>326</v>
      </c>
      <c r="B19" s="534"/>
      <c r="C19" s="534"/>
      <c r="D19" s="534" t="s">
        <v>1181</v>
      </c>
      <c r="E19" s="534"/>
      <c r="F19" s="579"/>
      <c r="G19" s="1128">
        <f>G20</f>
        <v>5412069</v>
      </c>
      <c r="H19" s="578">
        <f>H20</f>
        <v>0</v>
      </c>
      <c r="I19" s="1128">
        <f>I20</f>
        <v>3986725</v>
      </c>
      <c r="J19" s="578"/>
      <c r="K19" s="161"/>
      <c r="L19" s="536">
        <f t="shared" si="0"/>
        <v>3986725</v>
      </c>
    </row>
    <row r="20" spans="1:15" ht="61.15" customHeight="1" x14ac:dyDescent="0.25">
      <c r="A20" s="580" t="s">
        <v>327</v>
      </c>
      <c r="B20" s="534"/>
      <c r="C20" s="534"/>
      <c r="D20" s="534" t="s">
        <v>1181</v>
      </c>
      <c r="E20" s="534"/>
      <c r="F20" s="579"/>
      <c r="G20" s="1128">
        <f>SUM(G21:G25)</f>
        <v>5412069</v>
      </c>
      <c r="H20" s="578"/>
      <c r="I20" s="1128">
        <f>SUM(I21:I25)</f>
        <v>3986725</v>
      </c>
      <c r="J20" s="578"/>
      <c r="K20" s="161"/>
      <c r="L20" s="536">
        <f t="shared" si="0"/>
        <v>3986725</v>
      </c>
    </row>
    <row r="21" spans="1:15" ht="41.25" x14ac:dyDescent="0.25">
      <c r="A21" s="978" t="s">
        <v>973</v>
      </c>
      <c r="B21" s="978" t="s">
        <v>446</v>
      </c>
      <c r="C21" s="978" t="s">
        <v>411</v>
      </c>
      <c r="D21" s="610" t="s">
        <v>995</v>
      </c>
      <c r="E21" s="281" t="s">
        <v>1799</v>
      </c>
      <c r="F21" s="792">
        <v>2021</v>
      </c>
      <c r="G21" s="1557">
        <v>1427600</v>
      </c>
      <c r="H21" s="1554"/>
      <c r="I21" s="1550">
        <v>1427600</v>
      </c>
      <c r="J21" s="1554">
        <v>100</v>
      </c>
      <c r="K21" s="593">
        <f>дод3!O107</f>
        <v>1427600</v>
      </c>
      <c r="L21" s="536">
        <f t="shared" si="0"/>
        <v>1427600</v>
      </c>
      <c r="M21" s="66" t="s">
        <v>1031</v>
      </c>
    </row>
    <row r="22" spans="1:15" ht="61.15" customHeight="1" x14ac:dyDescent="0.25">
      <c r="A22" s="1871" t="s">
        <v>977</v>
      </c>
      <c r="B22" s="1871" t="s">
        <v>449</v>
      </c>
      <c r="C22" s="1871" t="s">
        <v>411</v>
      </c>
      <c r="D22" s="1888" t="s">
        <v>996</v>
      </c>
      <c r="E22" s="281" t="s">
        <v>1759</v>
      </c>
      <c r="F22" s="792">
        <v>2021</v>
      </c>
      <c r="G22" s="1438">
        <v>320000</v>
      </c>
      <c r="H22" s="1438"/>
      <c r="I22" s="892">
        <v>320000</v>
      </c>
      <c r="J22" s="1554">
        <v>100</v>
      </c>
      <c r="K22" s="593">
        <f>дод3!O108</f>
        <v>858044</v>
      </c>
      <c r="L22" s="536">
        <f t="shared" si="0"/>
        <v>320000</v>
      </c>
      <c r="M22" s="66" t="s">
        <v>1031</v>
      </c>
    </row>
    <row r="23" spans="1:15" ht="36" customHeight="1" x14ac:dyDescent="0.25">
      <c r="A23" s="1872"/>
      <c r="B23" s="1872"/>
      <c r="C23" s="1872"/>
      <c r="D23" s="1889"/>
      <c r="E23" s="281" t="s">
        <v>1760</v>
      </c>
      <c r="F23" s="164">
        <v>2021</v>
      </c>
      <c r="G23" s="1438">
        <v>197000</v>
      </c>
      <c r="H23" s="1552"/>
      <c r="I23" s="892">
        <v>197000</v>
      </c>
      <c r="J23" s="1554">
        <v>100</v>
      </c>
      <c r="K23" s="161"/>
      <c r="L23" s="536">
        <f t="shared" si="0"/>
        <v>197000</v>
      </c>
    </row>
    <row r="24" spans="1:15" ht="37.5" x14ac:dyDescent="0.25">
      <c r="A24" s="1873"/>
      <c r="B24" s="1873"/>
      <c r="C24" s="1873"/>
      <c r="D24" s="1890"/>
      <c r="E24" s="281" t="s">
        <v>1761</v>
      </c>
      <c r="F24" s="164" t="s">
        <v>1165</v>
      </c>
      <c r="G24" s="1438">
        <v>1766388</v>
      </c>
      <c r="H24" s="1552"/>
      <c r="I24" s="892">
        <f>250000+91044</f>
        <v>341044</v>
      </c>
      <c r="J24" s="1554">
        <v>53</v>
      </c>
      <c r="K24" s="161"/>
      <c r="L24" s="536">
        <f t="shared" si="0"/>
        <v>341044</v>
      </c>
    </row>
    <row r="25" spans="1:15" ht="56.25" x14ac:dyDescent="0.25">
      <c r="A25" s="387" t="s">
        <v>1015</v>
      </c>
      <c r="B25" s="387" t="s">
        <v>806</v>
      </c>
      <c r="C25" s="387" t="s">
        <v>224</v>
      </c>
      <c r="D25" s="197" t="s">
        <v>1014</v>
      </c>
      <c r="E25" s="1322" t="s">
        <v>1871</v>
      </c>
      <c r="F25" s="943">
        <v>2021</v>
      </c>
      <c r="G25" s="1117">
        <v>1701081</v>
      </c>
      <c r="H25" s="1558"/>
      <c r="I25" s="1559">
        <v>1701081</v>
      </c>
      <c r="J25" s="1560">
        <v>100</v>
      </c>
      <c r="K25" s="593">
        <f>дод3!J109</f>
        <v>11401081</v>
      </c>
      <c r="L25" s="536"/>
      <c r="N25" s="1584">
        <f>K25-I25</f>
        <v>9700000</v>
      </c>
    </row>
    <row r="26" spans="1:15" s="537" customFormat="1" ht="56.25" x14ac:dyDescent="0.25">
      <c r="A26" s="473" t="s">
        <v>206</v>
      </c>
      <c r="B26" s="473"/>
      <c r="C26" s="473"/>
      <c r="D26" s="534" t="s">
        <v>885</v>
      </c>
      <c r="E26" s="473"/>
      <c r="F26" s="598"/>
      <c r="G26" s="1561">
        <f>G27</f>
        <v>1970000</v>
      </c>
      <c r="H26" s="1561"/>
      <c r="I26" s="1561">
        <f>I27</f>
        <v>1000</v>
      </c>
      <c r="J26" s="578"/>
      <c r="K26" s="535"/>
      <c r="L26" s="536">
        <f t="shared" si="0"/>
        <v>1000</v>
      </c>
      <c r="M26" s="536"/>
    </row>
    <row r="27" spans="1:15" s="537" customFormat="1" ht="56.25" x14ac:dyDescent="0.25">
      <c r="A27" s="473" t="s">
        <v>207</v>
      </c>
      <c r="B27" s="473"/>
      <c r="C27" s="473"/>
      <c r="D27" s="534" t="s">
        <v>885</v>
      </c>
      <c r="E27" s="473"/>
      <c r="F27" s="598"/>
      <c r="G27" s="1561">
        <f>G28</f>
        <v>1970000</v>
      </c>
      <c r="H27" s="1561"/>
      <c r="I27" s="1561">
        <f>I28</f>
        <v>1000</v>
      </c>
      <c r="J27" s="578"/>
      <c r="K27" s="535"/>
      <c r="L27" s="536">
        <f t="shared" si="0"/>
        <v>1000</v>
      </c>
      <c r="M27" s="536"/>
    </row>
    <row r="28" spans="1:15" s="515" customFormat="1" ht="41.25" x14ac:dyDescent="0.25">
      <c r="A28" s="611" t="s">
        <v>622</v>
      </c>
      <c r="B28" s="611" t="s">
        <v>621</v>
      </c>
      <c r="C28" s="611" t="s">
        <v>411</v>
      </c>
      <c r="D28" s="610" t="s">
        <v>1039</v>
      </c>
      <c r="E28" s="1059" t="s">
        <v>642</v>
      </c>
      <c r="F28" s="1060" t="s">
        <v>1224</v>
      </c>
      <c r="G28" s="892">
        <v>1970000</v>
      </c>
      <c r="H28" s="1562">
        <v>14</v>
      </c>
      <c r="I28" s="1550">
        <v>1000</v>
      </c>
      <c r="J28" s="1562">
        <v>14</v>
      </c>
      <c r="K28" s="1061">
        <f>дод3!O194</f>
        <v>1000</v>
      </c>
      <c r="L28" s="1062">
        <f t="shared" si="0"/>
        <v>1000</v>
      </c>
      <c r="M28" s="514" t="s">
        <v>1006</v>
      </c>
    </row>
    <row r="29" spans="1:15" s="479" customFormat="1" ht="75" hidden="1" x14ac:dyDescent="0.25">
      <c r="A29" s="473" t="s">
        <v>253</v>
      </c>
      <c r="B29" s="473"/>
      <c r="C29" s="473"/>
      <c r="D29" s="474" t="s">
        <v>708</v>
      </c>
      <c r="E29" s="474"/>
      <c r="F29" s="474"/>
      <c r="G29" s="582">
        <f>G31</f>
        <v>0</v>
      </c>
      <c r="H29" s="476"/>
      <c r="I29" s="582">
        <f>I31</f>
        <v>0</v>
      </c>
      <c r="J29" s="477"/>
      <c r="K29" s="333"/>
      <c r="L29" s="536">
        <f t="shared" si="0"/>
        <v>0</v>
      </c>
      <c r="M29" s="478" t="e">
        <f>I29-#REF!</f>
        <v>#REF!</v>
      </c>
    </row>
    <row r="30" spans="1:15" s="479" customFormat="1" ht="75" hidden="1" x14ac:dyDescent="0.25">
      <c r="A30" s="473" t="s">
        <v>254</v>
      </c>
      <c r="B30" s="473"/>
      <c r="C30" s="473"/>
      <c r="D30" s="474" t="s">
        <v>708</v>
      </c>
      <c r="E30" s="474"/>
      <c r="F30" s="474"/>
      <c r="G30" s="582">
        <f>G31</f>
        <v>0</v>
      </c>
      <c r="H30" s="476"/>
      <c r="I30" s="582">
        <f>I31</f>
        <v>0</v>
      </c>
      <c r="J30" s="477"/>
      <c r="K30" s="333"/>
      <c r="L30" s="536">
        <f t="shared" si="0"/>
        <v>0</v>
      </c>
      <c r="M30" s="478" t="e">
        <f>I30-#REF!</f>
        <v>#REF!</v>
      </c>
    </row>
    <row r="31" spans="1:15" s="233" customFormat="1" ht="56.25" hidden="1" x14ac:dyDescent="0.25">
      <c r="A31" s="611" t="s">
        <v>728</v>
      </c>
      <c r="B31" s="611" t="s">
        <v>593</v>
      </c>
      <c r="C31" s="611" t="s">
        <v>411</v>
      </c>
      <c r="D31" s="610" t="s">
        <v>787</v>
      </c>
      <c r="E31" s="610" t="s">
        <v>779</v>
      </c>
      <c r="F31" s="480">
        <v>2019</v>
      </c>
      <c r="G31" s="509">
        <f>200000-200000</f>
        <v>0</v>
      </c>
      <c r="H31" s="466"/>
      <c r="I31" s="581">
        <f>200000-200000</f>
        <v>0</v>
      </c>
      <c r="J31" s="481"/>
      <c r="K31" s="482"/>
      <c r="L31" s="536">
        <f t="shared" si="0"/>
        <v>0</v>
      </c>
      <c r="M31" s="458" t="e">
        <f>I31-#REF!</f>
        <v>#REF!</v>
      </c>
    </row>
    <row r="32" spans="1:15" s="537" customFormat="1" ht="56.25" x14ac:dyDescent="0.25">
      <c r="A32" s="473" t="s">
        <v>427</v>
      </c>
      <c r="B32" s="473"/>
      <c r="C32" s="473"/>
      <c r="D32" s="474" t="s">
        <v>693</v>
      </c>
      <c r="E32" s="473"/>
      <c r="F32" s="598"/>
      <c r="G32" s="1561">
        <f>G33</f>
        <v>1309938814</v>
      </c>
      <c r="H32" s="1561"/>
      <c r="I32" s="1561">
        <f>I33</f>
        <v>120954955.98000002</v>
      </c>
      <c r="J32" s="578"/>
      <c r="K32" s="539"/>
      <c r="L32" s="536">
        <f t="shared" si="0"/>
        <v>120954955.98000002</v>
      </c>
      <c r="M32" s="540" t="e">
        <f>I33-#REF!-I57</f>
        <v>#REF!</v>
      </c>
      <c r="O32" s="540">
        <f>K32-K33</f>
        <v>0</v>
      </c>
    </row>
    <row r="33" spans="1:13" s="537" customFormat="1" ht="56.25" x14ac:dyDescent="0.25">
      <c r="A33" s="473" t="s">
        <v>428</v>
      </c>
      <c r="B33" s="473"/>
      <c r="C33" s="473"/>
      <c r="D33" s="474" t="s">
        <v>693</v>
      </c>
      <c r="E33" s="473"/>
      <c r="F33" s="598"/>
      <c r="G33" s="1561">
        <f>SUM(G34:G107)</f>
        <v>1309938814</v>
      </c>
      <c r="H33" s="1561"/>
      <c r="I33" s="1561">
        <f>SUM(I34:I107)</f>
        <v>120954955.98000002</v>
      </c>
      <c r="J33" s="578"/>
      <c r="K33" s="539"/>
      <c r="L33" s="536">
        <f t="shared" si="0"/>
        <v>120954955.98000002</v>
      </c>
      <c r="M33" s="536"/>
    </row>
    <row r="34" spans="1:13" s="537" customFormat="1" ht="31.5" x14ac:dyDescent="0.25">
      <c r="A34" s="1860">
        <v>1617321</v>
      </c>
      <c r="B34" s="1860">
        <v>7321</v>
      </c>
      <c r="C34" s="1860" t="s">
        <v>411</v>
      </c>
      <c r="D34" s="1860" t="s">
        <v>1467</v>
      </c>
      <c r="E34" s="1016" t="s">
        <v>1468</v>
      </c>
      <c r="F34" s="934" t="s">
        <v>1166</v>
      </c>
      <c r="G34" s="1438">
        <v>17755942</v>
      </c>
      <c r="H34" s="1554">
        <v>91</v>
      </c>
      <c r="I34" s="892">
        <v>1563191</v>
      </c>
      <c r="J34" s="1554">
        <v>100</v>
      </c>
      <c r="K34" s="539">
        <f>дод3!O235</f>
        <v>3307937</v>
      </c>
      <c r="L34" s="536">
        <f t="shared" si="0"/>
        <v>1563191</v>
      </c>
      <c r="M34" s="536" t="s">
        <v>1007</v>
      </c>
    </row>
    <row r="35" spans="1:13" s="537" customFormat="1" ht="31.5" x14ac:dyDescent="0.25">
      <c r="A35" s="1876"/>
      <c r="B35" s="1876"/>
      <c r="C35" s="1876"/>
      <c r="D35" s="1876"/>
      <c r="E35" s="1473" t="s">
        <v>2277</v>
      </c>
      <c r="F35" s="934">
        <v>2021</v>
      </c>
      <c r="G35" s="1438"/>
      <c r="H35" s="1554"/>
      <c r="I35" s="892">
        <v>150000</v>
      </c>
      <c r="J35" s="1554">
        <v>100</v>
      </c>
      <c r="K35" s="539"/>
      <c r="L35" s="536"/>
      <c r="M35" s="536"/>
    </row>
    <row r="36" spans="1:13" s="537" customFormat="1" ht="47.25" x14ac:dyDescent="0.25">
      <c r="A36" s="1876"/>
      <c r="B36" s="1876"/>
      <c r="C36" s="1876"/>
      <c r="D36" s="1876"/>
      <c r="E36" s="1473" t="s">
        <v>2319</v>
      </c>
      <c r="F36" s="934"/>
      <c r="G36" s="1438"/>
      <c r="H36" s="1554"/>
      <c r="I36" s="892">
        <v>50000</v>
      </c>
      <c r="J36" s="1554"/>
      <c r="K36" s="539"/>
      <c r="L36" s="536"/>
      <c r="M36" s="536"/>
    </row>
    <row r="37" spans="1:13" s="537" customFormat="1" ht="31.5" x14ac:dyDescent="0.25">
      <c r="A37" s="1876"/>
      <c r="B37" s="1876"/>
      <c r="C37" s="1876"/>
      <c r="D37" s="1876"/>
      <c r="E37" s="1017" t="s">
        <v>2088</v>
      </c>
      <c r="F37" s="935">
        <v>2021</v>
      </c>
      <c r="G37" s="892">
        <v>300000</v>
      </c>
      <c r="H37" s="1563"/>
      <c r="I37" s="892">
        <v>300000</v>
      </c>
      <c r="J37" s="1554">
        <v>100</v>
      </c>
      <c r="K37" s="539"/>
      <c r="L37" s="536"/>
      <c r="M37" s="536"/>
    </row>
    <row r="38" spans="1:13" s="537" customFormat="1" ht="63" x14ac:dyDescent="0.25">
      <c r="A38" s="1876"/>
      <c r="B38" s="1876"/>
      <c r="C38" s="1876"/>
      <c r="D38" s="1876"/>
      <c r="E38" s="1016" t="s">
        <v>2279</v>
      </c>
      <c r="F38" s="934" t="s">
        <v>1165</v>
      </c>
      <c r="G38" s="1438">
        <v>4800000</v>
      </c>
      <c r="H38" s="1563"/>
      <c r="I38" s="892">
        <f>1845000-1441159</f>
        <v>403841</v>
      </c>
      <c r="J38" s="1554">
        <v>38</v>
      </c>
      <c r="K38" s="539"/>
      <c r="L38" s="536"/>
      <c r="M38" s="536"/>
    </row>
    <row r="39" spans="1:13" s="537" customFormat="1" ht="63" x14ac:dyDescent="0.25">
      <c r="A39" s="1861"/>
      <c r="B39" s="1861"/>
      <c r="C39" s="1861"/>
      <c r="D39" s="1861"/>
      <c r="E39" s="1016" t="s">
        <v>2280</v>
      </c>
      <c r="F39" s="934" t="s">
        <v>1165</v>
      </c>
      <c r="G39" s="1117">
        <v>4400000</v>
      </c>
      <c r="H39" s="1564"/>
      <c r="I39" s="892">
        <f>2105000-1264095</f>
        <v>840905</v>
      </c>
      <c r="J39" s="1554">
        <v>48</v>
      </c>
      <c r="K39" s="539"/>
      <c r="L39" s="536"/>
      <c r="M39" s="536"/>
    </row>
    <row r="40" spans="1:13" ht="78.75" customHeight="1" x14ac:dyDescent="0.25">
      <c r="A40" s="1405" t="s">
        <v>448</v>
      </c>
      <c r="B40" s="1405" t="s">
        <v>449</v>
      </c>
      <c r="C40" s="1412" t="s">
        <v>411</v>
      </c>
      <c r="D40" s="1413" t="s">
        <v>1469</v>
      </c>
      <c r="E40" s="1477" t="s">
        <v>1162</v>
      </c>
      <c r="F40" s="934" t="s">
        <v>1163</v>
      </c>
      <c r="G40" s="1565">
        <v>250000</v>
      </c>
      <c r="H40" s="1566"/>
      <c r="I40" s="1567">
        <f>200000+50000</f>
        <v>250000</v>
      </c>
      <c r="J40" s="1568" t="s">
        <v>1164</v>
      </c>
      <c r="K40" s="539">
        <f>дод3!O236</f>
        <v>13980382</v>
      </c>
      <c r="L40" s="536">
        <f t="shared" si="0"/>
        <v>250000</v>
      </c>
      <c r="M40" s="538"/>
    </row>
    <row r="41" spans="1:13" s="302" customFormat="1" ht="31.5" x14ac:dyDescent="0.25">
      <c r="A41" s="980"/>
      <c r="B41" s="980"/>
      <c r="C41" s="584"/>
      <c r="D41" s="981"/>
      <c r="E41" s="1017" t="s">
        <v>2281</v>
      </c>
      <c r="F41" s="934" t="s">
        <v>1470</v>
      </c>
      <c r="G41" s="1438">
        <v>14100978</v>
      </c>
      <c r="H41" s="1563">
        <v>3</v>
      </c>
      <c r="I41" s="892">
        <f>5000000-1000000</f>
        <v>4000000</v>
      </c>
      <c r="J41" s="1554">
        <v>31</v>
      </c>
      <c r="K41" s="334"/>
      <c r="L41" s="536">
        <f t="shared" si="0"/>
        <v>4000000</v>
      </c>
      <c r="M41" s="508"/>
    </row>
    <row r="42" spans="1:13" s="302" customFormat="1" ht="47.25" x14ac:dyDescent="0.25">
      <c r="A42" s="980"/>
      <c r="B42" s="980"/>
      <c r="C42" s="584"/>
      <c r="D42" s="981"/>
      <c r="E42" s="1379" t="s">
        <v>2282</v>
      </c>
      <c r="F42" s="934" t="s">
        <v>1165</v>
      </c>
      <c r="G42" s="1438">
        <v>6000000</v>
      </c>
      <c r="H42" s="1563"/>
      <c r="I42" s="892">
        <f>1447005+619000+336477</f>
        <v>2402482</v>
      </c>
      <c r="J42" s="1554">
        <v>34</v>
      </c>
      <c r="K42" s="334"/>
      <c r="L42" s="536">
        <f t="shared" si="0"/>
        <v>2402482</v>
      </c>
      <c r="M42" s="508"/>
    </row>
    <row r="43" spans="1:13" s="302" customFormat="1" ht="60" customHeight="1" x14ac:dyDescent="0.25">
      <c r="A43" s="980"/>
      <c r="B43" s="980"/>
      <c r="C43" s="584"/>
      <c r="D43" s="981"/>
      <c r="E43" s="1379" t="s">
        <v>2283</v>
      </c>
      <c r="F43" s="934" t="s">
        <v>1165</v>
      </c>
      <c r="G43" s="1438">
        <v>17000000</v>
      </c>
      <c r="H43" s="1563"/>
      <c r="I43" s="892">
        <f>4754000+1491000</f>
        <v>6245000</v>
      </c>
      <c r="J43" s="1554">
        <v>28</v>
      </c>
      <c r="K43" s="334"/>
      <c r="L43" s="536">
        <f t="shared" si="0"/>
        <v>6245000</v>
      </c>
      <c r="M43" s="508"/>
    </row>
    <row r="44" spans="1:13" s="302" customFormat="1" ht="60" customHeight="1" x14ac:dyDescent="0.25">
      <c r="A44" s="1425"/>
      <c r="B44" s="1425"/>
      <c r="C44" s="584"/>
      <c r="D44" s="1361"/>
      <c r="E44" s="1018" t="s">
        <v>1762</v>
      </c>
      <c r="F44" s="934">
        <v>2021</v>
      </c>
      <c r="G44" s="1438">
        <v>5000000</v>
      </c>
      <c r="H44" s="1563"/>
      <c r="I44" s="892">
        <v>500000</v>
      </c>
      <c r="J44" s="1554">
        <v>100</v>
      </c>
      <c r="K44" s="334"/>
      <c r="L44" s="536"/>
      <c r="M44" s="508"/>
    </row>
    <row r="45" spans="1:13" s="302" customFormat="1" ht="60" customHeight="1" x14ac:dyDescent="0.25">
      <c r="A45" s="1358"/>
      <c r="B45" s="1358"/>
      <c r="C45" s="584"/>
      <c r="D45" s="1361"/>
      <c r="E45" s="1018" t="s">
        <v>1763</v>
      </c>
      <c r="F45" s="934" t="s">
        <v>1471</v>
      </c>
      <c r="G45" s="1438">
        <v>149825239</v>
      </c>
      <c r="H45" s="1554">
        <v>23</v>
      </c>
      <c r="I45" s="892">
        <f>1000000-417100</f>
        <v>582900</v>
      </c>
      <c r="J45" s="1554">
        <v>24</v>
      </c>
      <c r="K45" s="334"/>
      <c r="L45" s="536">
        <f t="shared" si="0"/>
        <v>582900</v>
      </c>
      <c r="M45" s="508"/>
    </row>
    <row r="46" spans="1:13" s="302" customFormat="1" ht="60" customHeight="1" x14ac:dyDescent="0.25">
      <c r="A46" s="978" t="s">
        <v>804</v>
      </c>
      <c r="B46" s="978" t="s">
        <v>621</v>
      </c>
      <c r="C46" s="978" t="s">
        <v>411</v>
      </c>
      <c r="D46" s="475" t="s">
        <v>1039</v>
      </c>
      <c r="E46" s="940" t="s">
        <v>1487</v>
      </c>
      <c r="F46" s="935">
        <v>2021</v>
      </c>
      <c r="G46" s="1438">
        <v>348300</v>
      </c>
      <c r="H46" s="1563"/>
      <c r="I46" s="892">
        <v>348300</v>
      </c>
      <c r="J46" s="1554">
        <v>100</v>
      </c>
      <c r="K46" s="334">
        <f>дод3!O238</f>
        <v>348300</v>
      </c>
      <c r="L46" s="536">
        <f t="shared" si="0"/>
        <v>348300</v>
      </c>
      <c r="M46" s="508"/>
    </row>
    <row r="47" spans="1:13" s="302" customFormat="1" ht="31.5" x14ac:dyDescent="0.25">
      <c r="A47" s="1871">
        <v>1617325</v>
      </c>
      <c r="B47" s="1871" t="s">
        <v>593</v>
      </c>
      <c r="C47" s="1871" t="s">
        <v>411</v>
      </c>
      <c r="D47" s="1879" t="s">
        <v>1472</v>
      </c>
      <c r="E47" s="1478" t="s">
        <v>2284</v>
      </c>
      <c r="F47" s="935">
        <v>2021</v>
      </c>
      <c r="G47" s="1569">
        <v>330000</v>
      </c>
      <c r="H47" s="1438"/>
      <c r="I47" s="892">
        <v>330000</v>
      </c>
      <c r="J47" s="1438">
        <v>100</v>
      </c>
      <c r="K47" s="334">
        <f>дод3!O239</f>
        <v>4860152</v>
      </c>
      <c r="L47" s="536">
        <f t="shared" si="0"/>
        <v>330000</v>
      </c>
      <c r="M47" s="508"/>
    </row>
    <row r="48" spans="1:13" ht="18.75" x14ac:dyDescent="0.25">
      <c r="A48" s="1872"/>
      <c r="B48" s="1872"/>
      <c r="C48" s="1872"/>
      <c r="D48" s="1880"/>
      <c r="E48" s="1478" t="s">
        <v>1792</v>
      </c>
      <c r="F48" s="935">
        <v>2021</v>
      </c>
      <c r="G48" s="1569">
        <v>480000</v>
      </c>
      <c r="H48" s="1563"/>
      <c r="I48" s="892">
        <f>480000-1772</f>
        <v>478228</v>
      </c>
      <c r="J48" s="1438">
        <v>100</v>
      </c>
      <c r="K48" s="539">
        <f>дод3!J233</f>
        <v>0</v>
      </c>
      <c r="L48" s="536">
        <f t="shared" si="0"/>
        <v>478228</v>
      </c>
      <c r="M48" s="538" t="s">
        <v>1007</v>
      </c>
    </row>
    <row r="49" spans="1:13" ht="31.15" customHeight="1" x14ac:dyDescent="0.25">
      <c r="A49" s="1872"/>
      <c r="B49" s="1872"/>
      <c r="C49" s="1872"/>
      <c r="D49" s="1880"/>
      <c r="E49" s="1479" t="s">
        <v>2285</v>
      </c>
      <c r="F49" s="935" t="s">
        <v>1165</v>
      </c>
      <c r="G49" s="1569">
        <v>39689233</v>
      </c>
      <c r="H49" s="1563"/>
      <c r="I49" s="892">
        <v>3968924</v>
      </c>
      <c r="J49" s="1438">
        <v>10</v>
      </c>
      <c r="K49" s="539"/>
      <c r="L49" s="536">
        <f t="shared" si="0"/>
        <v>3968924</v>
      </c>
      <c r="M49" s="538" t="s">
        <v>1006</v>
      </c>
    </row>
    <row r="50" spans="1:13" ht="52.15" customHeight="1" x14ac:dyDescent="0.25">
      <c r="A50" s="1873"/>
      <c r="B50" s="1873"/>
      <c r="C50" s="1873"/>
      <c r="D50" s="1881"/>
      <c r="E50" s="1018" t="s">
        <v>2286</v>
      </c>
      <c r="F50" s="935">
        <v>2021</v>
      </c>
      <c r="G50" s="1569">
        <v>83000</v>
      </c>
      <c r="H50" s="1563"/>
      <c r="I50" s="892">
        <v>83000</v>
      </c>
      <c r="J50" s="1438">
        <v>100</v>
      </c>
      <c r="K50" s="539"/>
      <c r="L50" s="536">
        <f t="shared" si="0"/>
        <v>83000</v>
      </c>
      <c r="M50" s="538"/>
    </row>
    <row r="51" spans="1:13" ht="64.5" customHeight="1" x14ac:dyDescent="0.25">
      <c r="A51" s="1871" t="s">
        <v>659</v>
      </c>
      <c r="B51" s="1871" t="s">
        <v>660</v>
      </c>
      <c r="C51" s="1871" t="s">
        <v>411</v>
      </c>
      <c r="D51" s="1860" t="s">
        <v>1473</v>
      </c>
      <c r="E51" s="1478" t="s">
        <v>1474</v>
      </c>
      <c r="F51" s="935">
        <v>2021</v>
      </c>
      <c r="G51" s="1569">
        <v>16459420</v>
      </c>
      <c r="H51" s="1563"/>
      <c r="I51" s="892">
        <v>719211</v>
      </c>
      <c r="J51" s="1438">
        <v>100</v>
      </c>
      <c r="K51" s="539">
        <f>дод3!O240</f>
        <v>819211</v>
      </c>
      <c r="L51" s="536">
        <f t="shared" si="0"/>
        <v>719211</v>
      </c>
      <c r="M51" s="538"/>
    </row>
    <row r="52" spans="1:13" ht="64.5" customHeight="1" x14ac:dyDescent="0.25">
      <c r="A52" s="1873"/>
      <c r="B52" s="1873"/>
      <c r="C52" s="1873"/>
      <c r="D52" s="1861"/>
      <c r="E52" s="1478" t="s">
        <v>2287</v>
      </c>
      <c r="F52" s="935">
        <v>2021</v>
      </c>
      <c r="G52" s="1569">
        <v>100000</v>
      </c>
      <c r="H52" s="1563"/>
      <c r="I52" s="892">
        <v>100000</v>
      </c>
      <c r="J52" s="1438">
        <v>100</v>
      </c>
      <c r="K52" s="539"/>
      <c r="L52" s="536"/>
      <c r="M52" s="538"/>
    </row>
    <row r="53" spans="1:13" ht="37.5" x14ac:dyDescent="0.25">
      <c r="A53" s="1871" t="s">
        <v>451</v>
      </c>
      <c r="B53" s="1871" t="s">
        <v>279</v>
      </c>
      <c r="C53" s="1871" t="s">
        <v>411</v>
      </c>
      <c r="D53" s="1877" t="s">
        <v>414</v>
      </c>
      <c r="E53" s="940" t="s">
        <v>2292</v>
      </c>
      <c r="F53" s="935">
        <v>2021</v>
      </c>
      <c r="G53" s="1438">
        <v>1205900</v>
      </c>
      <c r="H53" s="1554">
        <v>9</v>
      </c>
      <c r="I53" s="892">
        <v>1205900</v>
      </c>
      <c r="J53" s="1554">
        <v>100</v>
      </c>
      <c r="K53" s="539">
        <f>дод3!O241</f>
        <v>11510070</v>
      </c>
      <c r="L53" s="536">
        <f>I57</f>
        <v>109200</v>
      </c>
      <c r="M53" s="538"/>
    </row>
    <row r="54" spans="1:13" ht="37.5" x14ac:dyDescent="0.25">
      <c r="A54" s="1872"/>
      <c r="B54" s="1872"/>
      <c r="C54" s="1872"/>
      <c r="D54" s="1878"/>
      <c r="E54" s="940" t="s">
        <v>2294</v>
      </c>
      <c r="F54" s="935" t="s">
        <v>1165</v>
      </c>
      <c r="G54" s="1438">
        <v>64123415</v>
      </c>
      <c r="H54" s="1563">
        <v>1.9</v>
      </c>
      <c r="I54" s="892">
        <v>4998000</v>
      </c>
      <c r="J54" s="1554">
        <v>10</v>
      </c>
      <c r="K54" s="539"/>
      <c r="L54" s="536"/>
      <c r="M54" s="538"/>
    </row>
    <row r="55" spans="1:13" ht="56.25" x14ac:dyDescent="0.25">
      <c r="A55" s="1872"/>
      <c r="B55" s="1872"/>
      <c r="C55" s="1872"/>
      <c r="D55" s="1878"/>
      <c r="E55" s="940" t="s">
        <v>2293</v>
      </c>
      <c r="F55" s="935" t="s">
        <v>2086</v>
      </c>
      <c r="G55" s="1438">
        <v>126849427</v>
      </c>
      <c r="H55" s="1554">
        <v>1</v>
      </c>
      <c r="I55" s="892">
        <v>5000000</v>
      </c>
      <c r="J55" s="1554">
        <v>5</v>
      </c>
      <c r="K55" s="539"/>
      <c r="L55" s="536">
        <f>I53</f>
        <v>1205900</v>
      </c>
      <c r="M55" s="538"/>
    </row>
    <row r="56" spans="1:13" ht="75" x14ac:dyDescent="0.25">
      <c r="A56" s="1872"/>
      <c r="B56" s="1872"/>
      <c r="C56" s="1872"/>
      <c r="D56" s="1878"/>
      <c r="E56" s="940" t="s">
        <v>2087</v>
      </c>
      <c r="F56" s="935" t="s">
        <v>1165</v>
      </c>
      <c r="G56" s="1438">
        <v>27243200</v>
      </c>
      <c r="H56" s="1563">
        <v>0</v>
      </c>
      <c r="I56" s="892">
        <f>146970+50000</f>
        <v>196970</v>
      </c>
      <c r="J56" s="1563">
        <v>0.7</v>
      </c>
      <c r="K56" s="539"/>
      <c r="L56" s="536">
        <f>I54</f>
        <v>4998000</v>
      </c>
      <c r="M56" s="538"/>
    </row>
    <row r="57" spans="1:13" ht="56.25" x14ac:dyDescent="0.25">
      <c r="A57" s="1872"/>
      <c r="B57" s="1872"/>
      <c r="C57" s="1872"/>
      <c r="D57" s="1878"/>
      <c r="E57" s="940" t="s">
        <v>1486</v>
      </c>
      <c r="F57" s="935">
        <v>2021</v>
      </c>
      <c r="G57" s="1438">
        <v>109200</v>
      </c>
      <c r="H57" s="1563"/>
      <c r="I57" s="892">
        <v>109200</v>
      </c>
      <c r="J57" s="1554">
        <v>100</v>
      </c>
      <c r="K57" s="539"/>
      <c r="L57" s="536">
        <f>I55</f>
        <v>5000000</v>
      </c>
      <c r="M57" s="538"/>
    </row>
    <row r="58" spans="1:13" s="515" customFormat="1" ht="72" customHeight="1" x14ac:dyDescent="0.25">
      <c r="A58" s="1868" t="s">
        <v>644</v>
      </c>
      <c r="B58" s="1868" t="s">
        <v>645</v>
      </c>
      <c r="C58" s="1868" t="s">
        <v>224</v>
      </c>
      <c r="D58" s="1891" t="s">
        <v>646</v>
      </c>
      <c r="E58" s="1481" t="s">
        <v>1394</v>
      </c>
      <c r="F58" s="1019" t="s">
        <v>1395</v>
      </c>
      <c r="G58" s="1570">
        <v>47544953</v>
      </c>
      <c r="H58" s="1571"/>
      <c r="I58" s="586">
        <f>2500000+777777</f>
        <v>3277777</v>
      </c>
      <c r="J58" s="1571" t="s">
        <v>1413</v>
      </c>
      <c r="K58" s="587">
        <f>дод3!J242</f>
        <v>35082303</v>
      </c>
      <c r="L58" s="536">
        <f t="shared" si="0"/>
        <v>3277777</v>
      </c>
      <c r="M58" s="514" t="s">
        <v>1007</v>
      </c>
    </row>
    <row r="59" spans="1:13" ht="54" customHeight="1" x14ac:dyDescent="0.25">
      <c r="A59" s="1869"/>
      <c r="B59" s="1869"/>
      <c r="C59" s="1869"/>
      <c r="D59" s="1892"/>
      <c r="E59" s="1480" t="s">
        <v>1475</v>
      </c>
      <c r="F59" s="1019" t="s">
        <v>1166</v>
      </c>
      <c r="G59" s="1570">
        <v>77456249</v>
      </c>
      <c r="H59" s="1571" t="s">
        <v>1396</v>
      </c>
      <c r="I59" s="586">
        <f>2017500+6434244</f>
        <v>8451744</v>
      </c>
      <c r="J59" s="1571">
        <v>100</v>
      </c>
      <c r="K59" s="539"/>
      <c r="L59" s="536">
        <f t="shared" si="0"/>
        <v>8451744</v>
      </c>
      <c r="M59" s="541" t="s">
        <v>1031</v>
      </c>
    </row>
    <row r="60" spans="1:13" ht="31.5" x14ac:dyDescent="0.25">
      <c r="A60" s="1869"/>
      <c r="B60" s="1869"/>
      <c r="C60" s="1869"/>
      <c r="D60" s="1892"/>
      <c r="E60" s="1480" t="s">
        <v>908</v>
      </c>
      <c r="F60" s="1019" t="s">
        <v>1167</v>
      </c>
      <c r="G60" s="1570">
        <v>23736758</v>
      </c>
      <c r="H60" s="1571" t="s">
        <v>1397</v>
      </c>
      <c r="I60" s="586">
        <f>500000+16470+7188600-200000</f>
        <v>7505070</v>
      </c>
      <c r="J60" s="1571" t="s">
        <v>1164</v>
      </c>
      <c r="K60" s="585"/>
      <c r="L60" s="536">
        <f t="shared" si="0"/>
        <v>7505070</v>
      </c>
      <c r="M60" s="538" t="s">
        <v>1007</v>
      </c>
    </row>
    <row r="61" spans="1:13" ht="31.5" x14ac:dyDescent="0.25">
      <c r="A61" s="1870"/>
      <c r="B61" s="1870"/>
      <c r="C61" s="1870"/>
      <c r="D61" s="1892"/>
      <c r="E61" s="1480" t="s">
        <v>1168</v>
      </c>
      <c r="F61" s="1019" t="s">
        <v>1008</v>
      </c>
      <c r="G61" s="1570">
        <v>93995874</v>
      </c>
      <c r="H61" s="1571" t="s">
        <v>1398</v>
      </c>
      <c r="I61" s="586">
        <f>3212474+808889</f>
        <v>4021363</v>
      </c>
      <c r="J61" s="1571" t="s">
        <v>1164</v>
      </c>
      <c r="K61" s="539"/>
      <c r="L61" s="536">
        <f t="shared" si="0"/>
        <v>4021363</v>
      </c>
      <c r="M61" s="538" t="s">
        <v>1031</v>
      </c>
    </row>
    <row r="62" spans="1:13" ht="31.5" x14ac:dyDescent="0.25">
      <c r="A62" s="1869"/>
      <c r="B62" s="1869"/>
      <c r="C62" s="1869"/>
      <c r="D62" s="1892"/>
      <c r="E62" s="1480" t="s">
        <v>1169</v>
      </c>
      <c r="F62" s="1019" t="s">
        <v>1165</v>
      </c>
      <c r="G62" s="1570">
        <v>126849427</v>
      </c>
      <c r="H62" s="1571"/>
      <c r="I62" s="586">
        <f>1373000-1373000</f>
        <v>0</v>
      </c>
      <c r="J62" s="1571" t="s">
        <v>1170</v>
      </c>
      <c r="K62" s="539"/>
      <c r="L62" s="536">
        <f t="shared" si="0"/>
        <v>0</v>
      </c>
      <c r="M62" s="538" t="s">
        <v>1031</v>
      </c>
    </row>
    <row r="63" spans="1:13" ht="31.5" x14ac:dyDescent="0.25">
      <c r="A63" s="1869"/>
      <c r="B63" s="1869"/>
      <c r="C63" s="1869"/>
      <c r="D63" s="1892"/>
      <c r="E63" s="1480" t="s">
        <v>1476</v>
      </c>
      <c r="F63" s="937" t="s">
        <v>1167</v>
      </c>
      <c r="G63" s="1117">
        <v>8529260</v>
      </c>
      <c r="H63" s="1572" t="s">
        <v>1399</v>
      </c>
      <c r="I63" s="1573">
        <f>652226+2449900-19</f>
        <v>3102107</v>
      </c>
      <c r="J63" s="1572" t="s">
        <v>1164</v>
      </c>
      <c r="K63" s="539"/>
      <c r="L63" s="536">
        <f t="shared" si="0"/>
        <v>3102107</v>
      </c>
      <c r="M63" s="538" t="s">
        <v>1007</v>
      </c>
    </row>
    <row r="64" spans="1:13" s="302" customFormat="1" ht="31.5" x14ac:dyDescent="0.25">
      <c r="A64" s="1869"/>
      <c r="B64" s="1869"/>
      <c r="C64" s="1869"/>
      <c r="D64" s="1892"/>
      <c r="E64" s="1482" t="s">
        <v>1477</v>
      </c>
      <c r="F64" s="937" t="s">
        <v>1167</v>
      </c>
      <c r="G64" s="1117">
        <v>690998</v>
      </c>
      <c r="H64" s="1572" t="s">
        <v>1404</v>
      </c>
      <c r="I64" s="1574">
        <v>69100</v>
      </c>
      <c r="J64" s="1572" t="s">
        <v>1164</v>
      </c>
      <c r="L64" s="536">
        <f t="shared" si="0"/>
        <v>69100</v>
      </c>
      <c r="M64" s="538" t="s">
        <v>1007</v>
      </c>
    </row>
    <row r="65" spans="1:14" ht="47.25" x14ac:dyDescent="0.25">
      <c r="A65" s="1869"/>
      <c r="B65" s="1869"/>
      <c r="C65" s="1869"/>
      <c r="D65" s="1892"/>
      <c r="E65" s="1482" t="s">
        <v>1478</v>
      </c>
      <c r="F65" s="937" t="s">
        <v>1008</v>
      </c>
      <c r="G65" s="1117">
        <v>511797</v>
      </c>
      <c r="H65" s="1572" t="s">
        <v>1479</v>
      </c>
      <c r="I65" s="1574">
        <v>51180</v>
      </c>
      <c r="J65" s="1572" t="s">
        <v>1164</v>
      </c>
      <c r="K65" s="539">
        <f>дод3!J237</f>
        <v>0</v>
      </c>
      <c r="L65" s="536">
        <f t="shared" si="0"/>
        <v>51180</v>
      </c>
      <c r="M65" s="538" t="s">
        <v>1006</v>
      </c>
      <c r="N65" s="544"/>
    </row>
    <row r="66" spans="1:14" ht="47.25" x14ac:dyDescent="0.25">
      <c r="A66" s="1869"/>
      <c r="B66" s="1869"/>
      <c r="C66" s="1869"/>
      <c r="D66" s="1892"/>
      <c r="E66" s="1482" t="s">
        <v>1480</v>
      </c>
      <c r="F66" s="937" t="s">
        <v>1393</v>
      </c>
      <c r="G66" s="1117">
        <v>7144424</v>
      </c>
      <c r="H66" s="1572"/>
      <c r="I66" s="1574">
        <f>3572212+1500000</f>
        <v>5072212</v>
      </c>
      <c r="J66" s="1572" t="s">
        <v>1164</v>
      </c>
      <c r="K66" s="539"/>
      <c r="L66" s="536"/>
      <c r="M66" s="538"/>
      <c r="N66" s="544"/>
    </row>
    <row r="67" spans="1:14" ht="31.5" x14ac:dyDescent="0.25">
      <c r="A67" s="1869"/>
      <c r="B67" s="1869"/>
      <c r="C67" s="1869"/>
      <c r="D67" s="1892"/>
      <c r="E67" s="1482" t="s">
        <v>1481</v>
      </c>
      <c r="F67" s="937" t="s">
        <v>1008</v>
      </c>
      <c r="G67" s="1117">
        <v>5317500</v>
      </c>
      <c r="H67" s="1572" t="s">
        <v>1403</v>
      </c>
      <c r="I67" s="1574">
        <v>531750</v>
      </c>
      <c r="J67" s="1572" t="s">
        <v>1164</v>
      </c>
      <c r="K67" s="539"/>
      <c r="L67" s="536"/>
      <c r="M67" s="538"/>
      <c r="N67" s="544"/>
    </row>
    <row r="68" spans="1:14" ht="34.5" customHeight="1" x14ac:dyDescent="0.25">
      <c r="A68" s="1869"/>
      <c r="B68" s="1869"/>
      <c r="C68" s="1869"/>
      <c r="D68" s="1892"/>
      <c r="E68" s="1483" t="s">
        <v>1482</v>
      </c>
      <c r="F68" s="937" t="s">
        <v>1165</v>
      </c>
      <c r="G68" s="1117">
        <v>39336866</v>
      </c>
      <c r="H68" s="1563"/>
      <c r="I68" s="1574">
        <f>1500000+1500000</f>
        <v>3000000</v>
      </c>
      <c r="J68" s="1572" t="s">
        <v>2288</v>
      </c>
      <c r="K68" s="539"/>
      <c r="L68" s="536">
        <f t="shared" si="0"/>
        <v>3000000</v>
      </c>
      <c r="M68" s="538" t="s">
        <v>1006</v>
      </c>
      <c r="N68" s="544"/>
    </row>
    <row r="69" spans="1:14" ht="56.25" x14ac:dyDescent="0.25">
      <c r="A69" s="1862" t="s">
        <v>805</v>
      </c>
      <c r="B69" s="1862" t="s">
        <v>806</v>
      </c>
      <c r="C69" s="1862" t="s">
        <v>224</v>
      </c>
      <c r="D69" s="1862" t="s">
        <v>1764</v>
      </c>
      <c r="E69" s="939" t="s">
        <v>1765</v>
      </c>
      <c r="F69" s="937" t="s">
        <v>1163</v>
      </c>
      <c r="G69" s="1117">
        <v>1400000</v>
      </c>
      <c r="H69" s="1563"/>
      <c r="I69" s="1574">
        <v>1400000</v>
      </c>
      <c r="J69" s="1572" t="s">
        <v>1164</v>
      </c>
      <c r="K69" s="539">
        <f>дод3!O243</f>
        <v>6430000</v>
      </c>
      <c r="L69" s="536" t="e">
        <f>#REF!</f>
        <v>#REF!</v>
      </c>
      <c r="M69" s="538"/>
    </row>
    <row r="70" spans="1:14" ht="75" x14ac:dyDescent="0.25">
      <c r="A70" s="1863"/>
      <c r="B70" s="1863"/>
      <c r="C70" s="1863"/>
      <c r="D70" s="1863"/>
      <c r="E70" s="1494" t="s">
        <v>2290</v>
      </c>
      <c r="F70" s="937" t="s">
        <v>1163</v>
      </c>
      <c r="G70" s="1117">
        <v>30000</v>
      </c>
      <c r="H70" s="1563"/>
      <c r="I70" s="1574">
        <v>30000</v>
      </c>
      <c r="J70" s="1572" t="s">
        <v>1164</v>
      </c>
      <c r="K70" s="539"/>
      <c r="L70" s="536"/>
      <c r="M70" s="538"/>
    </row>
    <row r="71" spans="1:14" ht="60" customHeight="1" x14ac:dyDescent="0.25">
      <c r="A71" s="1863"/>
      <c r="B71" s="1863"/>
      <c r="C71" s="1863"/>
      <c r="D71" s="1863"/>
      <c r="E71" s="1379" t="s">
        <v>1482</v>
      </c>
      <c r="F71" s="937" t="s">
        <v>1165</v>
      </c>
      <c r="G71" s="1117">
        <v>39336866</v>
      </c>
      <c r="H71" s="1563"/>
      <c r="I71" s="1574">
        <v>5000000</v>
      </c>
      <c r="J71" s="1572" t="s">
        <v>2288</v>
      </c>
      <c r="K71" s="539"/>
      <c r="L71" s="536">
        <f>I69</f>
        <v>1400000</v>
      </c>
      <c r="M71" s="538"/>
    </row>
    <row r="72" spans="1:14" ht="31.5" x14ac:dyDescent="0.25">
      <c r="A72" s="1581">
        <v>1617367</v>
      </c>
      <c r="B72" s="1581" t="s">
        <v>662</v>
      </c>
      <c r="C72" s="1581" t="s">
        <v>224</v>
      </c>
      <c r="D72" s="1885" t="s">
        <v>670</v>
      </c>
      <c r="E72" s="1484" t="s">
        <v>949</v>
      </c>
      <c r="F72" s="1476" t="s">
        <v>1483</v>
      </c>
      <c r="G72" s="1575">
        <v>9059160</v>
      </c>
      <c r="H72" s="1576">
        <v>89.16</v>
      </c>
      <c r="I72" s="1559">
        <v>982161.22</v>
      </c>
      <c r="J72" s="1560">
        <v>100</v>
      </c>
      <c r="K72" s="539">
        <f>дод3!J244</f>
        <v>16680436.17</v>
      </c>
      <c r="L72" s="536">
        <f t="shared" si="0"/>
        <v>982161.22</v>
      </c>
      <c r="M72" s="538" t="s">
        <v>1006</v>
      </c>
      <c r="N72" s="544">
        <f>K72-I72-I73-I74-I75-I76-I77-I78-I79-I80-I81-I82-I83-I84-I85-I86-I87-I88-I89-I91-I90-I92-I93-I94-I95</f>
        <v>1402657.9999999977</v>
      </c>
    </row>
    <row r="73" spans="1:14" ht="31.5" x14ac:dyDescent="0.25">
      <c r="A73" s="977"/>
      <c r="B73" s="977"/>
      <c r="C73" s="977"/>
      <c r="D73" s="1886"/>
      <c r="E73" s="1485" t="s">
        <v>950</v>
      </c>
      <c r="F73" s="1476" t="s">
        <v>1483</v>
      </c>
      <c r="G73" s="1575">
        <v>9059894</v>
      </c>
      <c r="H73" s="1576">
        <v>98.53</v>
      </c>
      <c r="I73" s="1559">
        <v>1035242.36</v>
      </c>
      <c r="J73" s="1560">
        <v>100</v>
      </c>
      <c r="K73" s="539"/>
      <c r="L73" s="536">
        <f t="shared" si="0"/>
        <v>1035242.36</v>
      </c>
      <c r="M73" s="538" t="s">
        <v>1007</v>
      </c>
    </row>
    <row r="74" spans="1:14" ht="31.5" x14ac:dyDescent="0.25">
      <c r="A74" s="977"/>
      <c r="B74" s="977"/>
      <c r="C74" s="977"/>
      <c r="D74" s="1886"/>
      <c r="E74" s="1486" t="s">
        <v>951</v>
      </c>
      <c r="F74" s="1476" t="s">
        <v>1483</v>
      </c>
      <c r="G74" s="1575">
        <v>9056045</v>
      </c>
      <c r="H74" s="1576">
        <v>97.17</v>
      </c>
      <c r="I74" s="1559">
        <v>256112.16</v>
      </c>
      <c r="J74" s="1560">
        <v>100</v>
      </c>
      <c r="K74" s="539"/>
      <c r="L74" s="536">
        <f t="shared" si="0"/>
        <v>256112.16</v>
      </c>
      <c r="M74" s="538" t="s">
        <v>1007</v>
      </c>
    </row>
    <row r="75" spans="1:14" ht="54" customHeight="1" x14ac:dyDescent="0.25">
      <c r="A75" s="977"/>
      <c r="B75" s="977"/>
      <c r="C75" s="977"/>
      <c r="D75" s="1886"/>
      <c r="E75" s="1486" t="s">
        <v>952</v>
      </c>
      <c r="F75" s="1476" t="s">
        <v>1483</v>
      </c>
      <c r="G75" s="1575">
        <v>9064982</v>
      </c>
      <c r="H75" s="1576">
        <v>82.8</v>
      </c>
      <c r="I75" s="1559">
        <v>1559248.73</v>
      </c>
      <c r="J75" s="1560">
        <v>100</v>
      </c>
      <c r="K75" s="539"/>
      <c r="L75" s="536">
        <f t="shared" si="0"/>
        <v>1559248.73</v>
      </c>
      <c r="M75" s="538" t="s">
        <v>1007</v>
      </c>
    </row>
    <row r="76" spans="1:14" s="302" customFormat="1" ht="31.5" x14ac:dyDescent="0.25">
      <c r="A76" s="977"/>
      <c r="B76" s="977"/>
      <c r="C76" s="977"/>
      <c r="D76" s="1886"/>
      <c r="E76" s="1486" t="s">
        <v>953</v>
      </c>
      <c r="F76" s="1476" t="s">
        <v>1483</v>
      </c>
      <c r="G76" s="1575">
        <v>9065561</v>
      </c>
      <c r="H76" s="1576">
        <v>99.32</v>
      </c>
      <c r="I76" s="1559">
        <v>61509</v>
      </c>
      <c r="J76" s="1560">
        <v>100</v>
      </c>
      <c r="K76" s="334"/>
      <c r="L76" s="536">
        <f t="shared" si="0"/>
        <v>61509</v>
      </c>
      <c r="M76" s="508" t="e">
        <f>I76-#REF!</f>
        <v>#REF!</v>
      </c>
    </row>
    <row r="77" spans="1:14" s="302" customFormat="1" ht="31.5" x14ac:dyDescent="0.25">
      <c r="A77" s="977"/>
      <c r="B77" s="977"/>
      <c r="C77" s="977"/>
      <c r="D77" s="1886"/>
      <c r="E77" s="1486" t="s">
        <v>954</v>
      </c>
      <c r="F77" s="1476" t="s">
        <v>1483</v>
      </c>
      <c r="G77" s="1575">
        <v>9061970</v>
      </c>
      <c r="H77" s="1576">
        <v>83.61</v>
      </c>
      <c r="I77" s="1559">
        <v>1485664.26</v>
      </c>
      <c r="J77" s="1560">
        <v>100</v>
      </c>
      <c r="K77" s="334"/>
      <c r="L77" s="536">
        <f t="shared" si="0"/>
        <v>1485664.26</v>
      </c>
      <c r="M77" s="508" t="e">
        <f>I77-#REF!</f>
        <v>#REF!</v>
      </c>
    </row>
    <row r="78" spans="1:14" s="302" customFormat="1" ht="31.5" x14ac:dyDescent="0.25">
      <c r="A78" s="977"/>
      <c r="B78" s="977"/>
      <c r="C78" s="977"/>
      <c r="D78" s="1886"/>
      <c r="E78" s="1486" t="s">
        <v>955</v>
      </c>
      <c r="F78" s="1476" t="s">
        <v>1483</v>
      </c>
      <c r="G78" s="1575">
        <v>9025979</v>
      </c>
      <c r="H78" s="1576">
        <v>99.07</v>
      </c>
      <c r="I78" s="1559">
        <v>83525.47</v>
      </c>
      <c r="J78" s="1560">
        <v>100</v>
      </c>
      <c r="K78" s="334"/>
      <c r="L78" s="536">
        <f t="shared" si="0"/>
        <v>83525.47</v>
      </c>
      <c r="M78" s="508"/>
    </row>
    <row r="79" spans="1:14" s="302" customFormat="1" ht="31.5" x14ac:dyDescent="0.25">
      <c r="A79" s="977"/>
      <c r="B79" s="977"/>
      <c r="C79" s="977"/>
      <c r="D79" s="1886"/>
      <c r="E79" s="1486" t="s">
        <v>956</v>
      </c>
      <c r="F79" s="1476" t="s">
        <v>1483</v>
      </c>
      <c r="G79" s="1575">
        <v>9065564</v>
      </c>
      <c r="H79" s="1576">
        <v>97.35</v>
      </c>
      <c r="I79" s="1559">
        <v>240355.68</v>
      </c>
      <c r="J79" s="1560">
        <v>100</v>
      </c>
      <c r="K79" s="334"/>
      <c r="L79" s="536">
        <f t="shared" si="0"/>
        <v>240355.68</v>
      </c>
      <c r="M79" s="508"/>
    </row>
    <row r="80" spans="1:14" s="302" customFormat="1" ht="31.5" x14ac:dyDescent="0.25">
      <c r="A80" s="977"/>
      <c r="B80" s="977"/>
      <c r="C80" s="977"/>
      <c r="D80" s="1886"/>
      <c r="E80" s="1487" t="s">
        <v>957</v>
      </c>
      <c r="F80" s="1476" t="s">
        <v>1483</v>
      </c>
      <c r="G80" s="1575">
        <v>9066031</v>
      </c>
      <c r="H80" s="1576">
        <v>99.01</v>
      </c>
      <c r="I80" s="1559">
        <v>90023.49</v>
      </c>
      <c r="J80" s="1560">
        <v>100</v>
      </c>
      <c r="K80" s="334"/>
      <c r="L80" s="536">
        <f t="shared" si="0"/>
        <v>90023.49</v>
      </c>
      <c r="M80" s="508"/>
    </row>
    <row r="81" spans="1:13" s="302" customFormat="1" ht="31.5" x14ac:dyDescent="0.25">
      <c r="A81" s="977"/>
      <c r="B81" s="977"/>
      <c r="C81" s="977"/>
      <c r="D81" s="1886"/>
      <c r="E81" s="1488" t="s">
        <v>958</v>
      </c>
      <c r="F81" s="1476" t="s">
        <v>1483</v>
      </c>
      <c r="G81" s="1575">
        <v>9066480</v>
      </c>
      <c r="H81" s="1576">
        <v>89.87</v>
      </c>
      <c r="I81" s="1559">
        <v>1518445.56</v>
      </c>
      <c r="J81" s="1560">
        <v>100</v>
      </c>
      <c r="K81" s="334"/>
      <c r="L81" s="536">
        <f t="shared" si="0"/>
        <v>1518445.56</v>
      </c>
      <c r="M81" s="508"/>
    </row>
    <row r="82" spans="1:13" s="302" customFormat="1" ht="31.5" x14ac:dyDescent="0.25">
      <c r="A82" s="977"/>
      <c r="B82" s="977"/>
      <c r="C82" s="977"/>
      <c r="D82" s="1886"/>
      <c r="E82" s="1486" t="s">
        <v>959</v>
      </c>
      <c r="F82" s="1476" t="s">
        <v>1483</v>
      </c>
      <c r="G82" s="1575">
        <v>9123804</v>
      </c>
      <c r="H82" s="1576">
        <v>92.05</v>
      </c>
      <c r="I82" s="1559">
        <v>725234.33</v>
      </c>
      <c r="J82" s="1560">
        <v>100</v>
      </c>
      <c r="K82" s="334"/>
      <c r="L82" s="536">
        <f t="shared" si="0"/>
        <v>725234.33</v>
      </c>
      <c r="M82" s="508"/>
    </row>
    <row r="83" spans="1:13" s="302" customFormat="1" ht="31.5" x14ac:dyDescent="0.25">
      <c r="A83" s="977"/>
      <c r="B83" s="977"/>
      <c r="C83" s="977"/>
      <c r="D83" s="1886"/>
      <c r="E83" s="1486" t="s">
        <v>960</v>
      </c>
      <c r="F83" s="1476" t="s">
        <v>1483</v>
      </c>
      <c r="G83" s="1575">
        <v>9116072</v>
      </c>
      <c r="H83" s="1576">
        <v>99.19</v>
      </c>
      <c r="I83" s="1559">
        <v>73396.649999999994</v>
      </c>
      <c r="J83" s="1560">
        <v>100</v>
      </c>
      <c r="K83" s="334"/>
      <c r="L83" s="536">
        <f t="shared" si="0"/>
        <v>73396.649999999994</v>
      </c>
      <c r="M83" s="508"/>
    </row>
    <row r="84" spans="1:13" s="302" customFormat="1" ht="31.5" x14ac:dyDescent="0.25">
      <c r="A84" s="977"/>
      <c r="B84" s="977"/>
      <c r="C84" s="977"/>
      <c r="D84" s="1886"/>
      <c r="E84" s="1489" t="s">
        <v>1484</v>
      </c>
      <c r="F84" s="1476" t="s">
        <v>1483</v>
      </c>
      <c r="G84" s="1117">
        <v>8949665</v>
      </c>
      <c r="H84" s="1576">
        <v>96.73</v>
      </c>
      <c r="I84" s="1559">
        <v>298300.59999999998</v>
      </c>
      <c r="J84" s="1560">
        <v>100</v>
      </c>
      <c r="K84" s="334"/>
      <c r="L84" s="536">
        <f t="shared" si="0"/>
        <v>298300.59999999998</v>
      </c>
      <c r="M84" s="508"/>
    </row>
    <row r="85" spans="1:13" s="302" customFormat="1" ht="31.5" x14ac:dyDescent="0.25">
      <c r="A85" s="977"/>
      <c r="B85" s="977"/>
      <c r="C85" s="977"/>
      <c r="D85" s="1886"/>
      <c r="E85" s="1486" t="s">
        <v>961</v>
      </c>
      <c r="F85" s="1476" t="s">
        <v>1483</v>
      </c>
      <c r="G85" s="1575">
        <v>9124000</v>
      </c>
      <c r="H85" s="1576">
        <v>97.93</v>
      </c>
      <c r="I85" s="1559">
        <v>188912.19</v>
      </c>
      <c r="J85" s="1560">
        <v>100</v>
      </c>
      <c r="K85" s="334"/>
      <c r="L85" s="536">
        <f t="shared" si="0"/>
        <v>188912.19</v>
      </c>
      <c r="M85" s="508"/>
    </row>
    <row r="86" spans="1:13" s="512" customFormat="1" ht="31.5" x14ac:dyDescent="0.25">
      <c r="A86" s="977"/>
      <c r="B86" s="977"/>
      <c r="C86" s="977"/>
      <c r="D86" s="1886"/>
      <c r="E86" s="1486" t="s">
        <v>962</v>
      </c>
      <c r="F86" s="1476" t="s">
        <v>1483</v>
      </c>
      <c r="G86" s="1577">
        <v>9045415</v>
      </c>
      <c r="H86" s="1578">
        <v>99.06</v>
      </c>
      <c r="I86" s="1559">
        <v>85238.720000000001</v>
      </c>
      <c r="J86" s="1560">
        <v>100</v>
      </c>
      <c r="K86" s="500"/>
      <c r="L86" s="536">
        <f t="shared" si="0"/>
        <v>85238.720000000001</v>
      </c>
      <c r="M86" s="511"/>
    </row>
    <row r="87" spans="1:13" s="512" customFormat="1" ht="31.5" x14ac:dyDescent="0.25">
      <c r="A87" s="977"/>
      <c r="B87" s="977"/>
      <c r="C87" s="977"/>
      <c r="D87" s="1886"/>
      <c r="E87" s="1488" t="s">
        <v>963</v>
      </c>
      <c r="F87" s="1476" t="s">
        <v>1483</v>
      </c>
      <c r="G87" s="1575">
        <v>9067200</v>
      </c>
      <c r="H87" s="1576">
        <v>95.74</v>
      </c>
      <c r="I87" s="1559">
        <v>793259.53</v>
      </c>
      <c r="J87" s="1560">
        <v>100</v>
      </c>
      <c r="K87" s="500"/>
      <c r="L87" s="536">
        <f t="shared" si="0"/>
        <v>793259.53</v>
      </c>
      <c r="M87" s="511"/>
    </row>
    <row r="88" spans="1:13" s="302" customFormat="1" ht="31.5" x14ac:dyDescent="0.25">
      <c r="A88" s="977"/>
      <c r="B88" s="977"/>
      <c r="C88" s="977"/>
      <c r="D88" s="1886"/>
      <c r="E88" s="1486" t="s">
        <v>964</v>
      </c>
      <c r="F88" s="1476" t="s">
        <v>1483</v>
      </c>
      <c r="G88" s="1575">
        <v>9065741</v>
      </c>
      <c r="H88" s="1576">
        <v>99.31</v>
      </c>
      <c r="I88" s="1559">
        <v>62887.78</v>
      </c>
      <c r="J88" s="1560">
        <v>100</v>
      </c>
      <c r="K88" s="334"/>
      <c r="L88" s="536">
        <f t="shared" si="0"/>
        <v>62887.78</v>
      </c>
      <c r="M88" s="508"/>
    </row>
    <row r="89" spans="1:13" s="302" customFormat="1" ht="31.5" x14ac:dyDescent="0.25">
      <c r="A89" s="977"/>
      <c r="B89" s="977"/>
      <c r="C89" s="977"/>
      <c r="D89" s="1886"/>
      <c r="E89" s="1486" t="s">
        <v>965</v>
      </c>
      <c r="F89" s="1476" t="s">
        <v>1483</v>
      </c>
      <c r="G89" s="1577">
        <v>9064850</v>
      </c>
      <c r="H89" s="1578">
        <v>99.23</v>
      </c>
      <c r="I89" s="1559">
        <v>69619.45</v>
      </c>
      <c r="J89" s="1560">
        <v>100</v>
      </c>
      <c r="K89" s="334"/>
      <c r="L89" s="536">
        <f t="shared" si="0"/>
        <v>69619.45</v>
      </c>
      <c r="M89" s="508"/>
    </row>
    <row r="90" spans="1:13" s="302" customFormat="1" ht="31.5" x14ac:dyDescent="0.25">
      <c r="A90" s="977"/>
      <c r="B90" s="977"/>
      <c r="C90" s="977"/>
      <c r="D90" s="1886"/>
      <c r="E90" s="1488" t="s">
        <v>966</v>
      </c>
      <c r="F90" s="1476" t="s">
        <v>1483</v>
      </c>
      <c r="G90" s="1575">
        <v>9066287</v>
      </c>
      <c r="H90" s="1576">
        <v>98.34</v>
      </c>
      <c r="I90" s="1559">
        <v>1050672.8400000001</v>
      </c>
      <c r="J90" s="1560">
        <v>100</v>
      </c>
      <c r="K90" s="334"/>
      <c r="L90" s="536">
        <f t="shared" si="0"/>
        <v>1050672.8400000001</v>
      </c>
      <c r="M90" s="508"/>
    </row>
    <row r="91" spans="1:13" s="302" customFormat="1" ht="31.5" x14ac:dyDescent="0.25">
      <c r="A91" s="977"/>
      <c r="B91" s="977"/>
      <c r="C91" s="977"/>
      <c r="D91" s="1886"/>
      <c r="E91" s="1486" t="s">
        <v>967</v>
      </c>
      <c r="F91" s="1476" t="s">
        <v>1483</v>
      </c>
      <c r="G91" s="1575">
        <v>9067123</v>
      </c>
      <c r="H91" s="1576">
        <v>98.81</v>
      </c>
      <c r="I91" s="1559">
        <v>107556.29</v>
      </c>
      <c r="J91" s="1560">
        <v>100</v>
      </c>
      <c r="K91" s="334"/>
      <c r="L91" s="536">
        <f t="shared" si="0"/>
        <v>107556.29</v>
      </c>
      <c r="M91" s="508"/>
    </row>
    <row r="92" spans="1:13" s="302" customFormat="1" ht="31.5" x14ac:dyDescent="0.25">
      <c r="A92" s="977"/>
      <c r="B92" s="977"/>
      <c r="C92" s="977"/>
      <c r="D92" s="1886"/>
      <c r="E92" s="1484" t="s">
        <v>968</v>
      </c>
      <c r="F92" s="1476" t="s">
        <v>1483</v>
      </c>
      <c r="G92" s="1575">
        <v>9120537</v>
      </c>
      <c r="H92" s="1576">
        <v>98.75</v>
      </c>
      <c r="I92" s="1559">
        <v>113723.3</v>
      </c>
      <c r="J92" s="1560">
        <v>100</v>
      </c>
      <c r="K92" s="334"/>
      <c r="L92" s="536">
        <f t="shared" si="0"/>
        <v>113723.3</v>
      </c>
      <c r="M92" s="508"/>
    </row>
    <row r="93" spans="1:13" s="302" customFormat="1" ht="31.5" x14ac:dyDescent="0.25">
      <c r="A93" s="977"/>
      <c r="B93" s="977"/>
      <c r="C93" s="977"/>
      <c r="D93" s="1886"/>
      <c r="E93" s="1484" t="s">
        <v>969</v>
      </c>
      <c r="F93" s="1476" t="s">
        <v>1483</v>
      </c>
      <c r="G93" s="1575">
        <v>9062725</v>
      </c>
      <c r="H93" s="1576">
        <v>86.5</v>
      </c>
      <c r="I93" s="1559">
        <v>1223388.47</v>
      </c>
      <c r="J93" s="1560">
        <v>100</v>
      </c>
      <c r="K93" s="334"/>
      <c r="L93" s="536">
        <f>I93</f>
        <v>1223388.47</v>
      </c>
      <c r="M93" s="508"/>
    </row>
    <row r="94" spans="1:13" s="302" customFormat="1" ht="31.5" x14ac:dyDescent="0.25">
      <c r="A94" s="977"/>
      <c r="B94" s="977"/>
      <c r="C94" s="977"/>
      <c r="D94" s="1886"/>
      <c r="E94" s="1484" t="s">
        <v>970</v>
      </c>
      <c r="F94" s="1476" t="s">
        <v>909</v>
      </c>
      <c r="G94" s="1575">
        <v>9419954</v>
      </c>
      <c r="H94" s="1576">
        <v>94.76</v>
      </c>
      <c r="I94" s="892">
        <v>643266.53</v>
      </c>
      <c r="J94" s="1560">
        <v>100</v>
      </c>
      <c r="K94" s="334"/>
      <c r="L94" s="536">
        <f>I94</f>
        <v>643266.53</v>
      </c>
      <c r="M94" s="508"/>
    </row>
    <row r="95" spans="1:13" s="302" customFormat="1" ht="31.5" x14ac:dyDescent="0.25">
      <c r="A95" s="946"/>
      <c r="B95" s="946"/>
      <c r="C95" s="946"/>
      <c r="D95" s="1887"/>
      <c r="E95" s="1490" t="s">
        <v>1485</v>
      </c>
      <c r="F95" s="1491" t="s">
        <v>1393</v>
      </c>
      <c r="G95" s="1117">
        <v>8886761</v>
      </c>
      <c r="H95" s="1576">
        <v>71.849999999999994</v>
      </c>
      <c r="I95" s="892">
        <v>2530033.56</v>
      </c>
      <c r="J95" s="1560">
        <v>100</v>
      </c>
      <c r="K95" s="334"/>
      <c r="L95" s="536">
        <f>I95</f>
        <v>2530033.56</v>
      </c>
      <c r="M95" s="508"/>
    </row>
    <row r="96" spans="1:13" ht="45" x14ac:dyDescent="0.25">
      <c r="A96" s="1882" t="s">
        <v>1016</v>
      </c>
      <c r="B96" s="1882">
        <v>7369</v>
      </c>
      <c r="C96" s="1882" t="s">
        <v>224</v>
      </c>
      <c r="D96" s="1883" t="s">
        <v>1019</v>
      </c>
      <c r="E96" s="1492" t="s">
        <v>1020</v>
      </c>
      <c r="F96" s="1493" t="s">
        <v>1393</v>
      </c>
      <c r="G96" s="1579">
        <v>9849257</v>
      </c>
      <c r="H96" s="1579">
        <v>74.7</v>
      </c>
      <c r="I96" s="586">
        <f>2489203-428165</f>
        <v>2061038</v>
      </c>
      <c r="J96" s="1560">
        <v>100</v>
      </c>
      <c r="K96" s="539">
        <f>дод3!O245</f>
        <v>12838822.810000001</v>
      </c>
      <c r="L96" s="536">
        <f t="shared" ref="L96:L118" si="1">I96</f>
        <v>2061038</v>
      </c>
      <c r="M96" s="541" t="s">
        <v>1007</v>
      </c>
    </row>
    <row r="97" spans="1:13" ht="30" x14ac:dyDescent="0.25">
      <c r="A97" s="1882"/>
      <c r="B97" s="1882">
        <v>7369</v>
      </c>
      <c r="C97" s="1882">
        <v>490</v>
      </c>
      <c r="D97" s="1884"/>
      <c r="E97" s="1492" t="s">
        <v>1021</v>
      </c>
      <c r="F97" s="1493" t="s">
        <v>1393</v>
      </c>
      <c r="G97" s="1579">
        <v>10028348</v>
      </c>
      <c r="H97" s="1579">
        <v>80.7</v>
      </c>
      <c r="I97" s="586">
        <v>1937204.81</v>
      </c>
      <c r="J97" s="1560">
        <v>100</v>
      </c>
      <c r="L97" s="536">
        <f t="shared" si="1"/>
        <v>1937204.81</v>
      </c>
      <c r="M97" s="541" t="s">
        <v>1007</v>
      </c>
    </row>
    <row r="98" spans="1:13" ht="45" x14ac:dyDescent="0.25">
      <c r="A98" s="1882"/>
      <c r="B98" s="1882">
        <v>7369</v>
      </c>
      <c r="C98" s="1882">
        <v>490</v>
      </c>
      <c r="D98" s="1883"/>
      <c r="E98" s="1492" t="s">
        <v>1022</v>
      </c>
      <c r="F98" s="1020" t="s">
        <v>1393</v>
      </c>
      <c r="G98" s="883">
        <v>8721482</v>
      </c>
      <c r="H98" s="883">
        <v>97</v>
      </c>
      <c r="I98" s="883">
        <v>200000</v>
      </c>
      <c r="J98" s="1560">
        <v>100</v>
      </c>
      <c r="K98" s="539"/>
      <c r="L98" s="536">
        <f t="shared" si="1"/>
        <v>200000</v>
      </c>
      <c r="M98" s="541" t="s">
        <v>1007</v>
      </c>
    </row>
    <row r="99" spans="1:13" ht="60" x14ac:dyDescent="0.25">
      <c r="A99" s="1882"/>
      <c r="B99" s="1882">
        <v>7369</v>
      </c>
      <c r="C99" s="1882">
        <v>490</v>
      </c>
      <c r="D99" s="1884"/>
      <c r="E99" s="1492" t="s">
        <v>1023</v>
      </c>
      <c r="F99" s="1493" t="s">
        <v>1393</v>
      </c>
      <c r="G99" s="1579">
        <v>16207602</v>
      </c>
      <c r="H99" s="1579">
        <v>46.7</v>
      </c>
      <c r="I99" s="586">
        <v>8640580</v>
      </c>
      <c r="J99" s="1560">
        <v>100</v>
      </c>
      <c r="K99" s="539"/>
      <c r="L99" s="536">
        <f t="shared" si="1"/>
        <v>8640580</v>
      </c>
      <c r="M99" s="541" t="s">
        <v>1007</v>
      </c>
    </row>
    <row r="100" spans="1:13" ht="31.15" customHeight="1" x14ac:dyDescent="0.25">
      <c r="A100" s="1893">
        <v>1617380</v>
      </c>
      <c r="B100" s="1893">
        <v>7380</v>
      </c>
      <c r="C100" s="1893" t="s">
        <v>224</v>
      </c>
      <c r="D100" s="1895" t="s">
        <v>1864</v>
      </c>
      <c r="E100" s="1474" t="s">
        <v>1482</v>
      </c>
      <c r="F100" s="1475" t="s">
        <v>1165</v>
      </c>
      <c r="G100" s="1575">
        <v>39336866</v>
      </c>
      <c r="H100" s="1576"/>
      <c r="I100" s="892">
        <v>6500000</v>
      </c>
      <c r="J100" s="1560">
        <v>71</v>
      </c>
      <c r="K100" s="539">
        <f>дод3!O247</f>
        <v>23500000</v>
      </c>
      <c r="L100" s="536"/>
      <c r="M100" s="541"/>
    </row>
    <row r="101" spans="1:13" ht="42" customHeight="1" x14ac:dyDescent="0.25">
      <c r="A101" s="1894"/>
      <c r="B101" s="1894"/>
      <c r="C101" s="1894"/>
      <c r="D101" s="1896"/>
      <c r="E101" s="1474" t="s">
        <v>2278</v>
      </c>
      <c r="F101" s="1475" t="s">
        <v>1165</v>
      </c>
      <c r="G101" s="1575">
        <v>39689233</v>
      </c>
      <c r="H101" s="1576">
        <v>0</v>
      </c>
      <c r="I101" s="892">
        <v>10000000</v>
      </c>
      <c r="J101" s="1560">
        <v>35</v>
      </c>
      <c r="K101" s="539"/>
      <c r="L101" s="536"/>
      <c r="M101" s="541"/>
    </row>
    <row r="102" spans="1:13" ht="18.75" hidden="1" x14ac:dyDescent="0.25">
      <c r="A102" s="1357"/>
      <c r="B102" s="1359"/>
      <c r="C102" s="1359"/>
      <c r="D102" s="1360"/>
      <c r="E102" s="1376"/>
      <c r="F102" s="941"/>
      <c r="G102" s="1151"/>
      <c r="H102" s="942"/>
      <c r="I102" s="1029"/>
      <c r="J102" s="945"/>
      <c r="K102" s="539"/>
      <c r="L102" s="536"/>
      <c r="M102" s="541"/>
    </row>
    <row r="103" spans="1:13" ht="18.75" hidden="1" x14ac:dyDescent="0.25">
      <c r="A103" s="1357"/>
      <c r="B103" s="1359"/>
      <c r="C103" s="1359"/>
      <c r="D103" s="1360"/>
      <c r="E103" s="1376"/>
      <c r="F103" s="941"/>
      <c r="G103" s="1151"/>
      <c r="H103" s="942"/>
      <c r="I103" s="1029"/>
      <c r="J103" s="945"/>
      <c r="K103" s="539"/>
      <c r="L103" s="536"/>
      <c r="M103" s="541"/>
    </row>
    <row r="104" spans="1:13" ht="18.75" hidden="1" x14ac:dyDescent="0.25">
      <c r="A104" s="1357"/>
      <c r="B104" s="1359"/>
      <c r="C104" s="1359"/>
      <c r="D104" s="1360"/>
      <c r="E104" s="1376"/>
      <c r="F104" s="941"/>
      <c r="G104" s="1151"/>
      <c r="H104" s="942"/>
      <c r="I104" s="1029"/>
      <c r="J104" s="945"/>
      <c r="K104" s="539"/>
      <c r="L104" s="536"/>
      <c r="M104" s="541"/>
    </row>
    <row r="105" spans="1:13" ht="18.75" hidden="1" x14ac:dyDescent="0.25">
      <c r="A105" s="1357"/>
      <c r="B105" s="1359"/>
      <c r="C105" s="1359"/>
      <c r="D105" s="1360"/>
      <c r="E105" s="1376"/>
      <c r="F105" s="941"/>
      <c r="G105" s="1151"/>
      <c r="H105" s="942"/>
      <c r="I105" s="1029"/>
      <c r="J105" s="945"/>
      <c r="K105" s="539"/>
      <c r="L105" s="536"/>
      <c r="M105" s="541"/>
    </row>
    <row r="106" spans="1:13" ht="18.75" hidden="1" x14ac:dyDescent="0.25">
      <c r="A106" s="1357"/>
      <c r="B106" s="1359"/>
      <c r="C106" s="1359"/>
      <c r="D106" s="1360"/>
      <c r="E106" s="1376"/>
      <c r="F106" s="941"/>
      <c r="G106" s="1151"/>
      <c r="H106" s="942"/>
      <c r="I106" s="1029"/>
      <c r="J106" s="945"/>
      <c r="K106" s="539"/>
      <c r="L106" s="536"/>
      <c r="M106" s="541"/>
    </row>
    <row r="107" spans="1:13" ht="18.75" hidden="1" x14ac:dyDescent="0.25">
      <c r="A107" s="979"/>
      <c r="B107" s="978"/>
      <c r="C107" s="978"/>
      <c r="D107" s="475"/>
      <c r="E107" s="948"/>
      <c r="F107" s="943"/>
      <c r="G107" s="938"/>
      <c r="H107" s="944"/>
      <c r="I107" s="936"/>
      <c r="J107" s="945"/>
      <c r="K107" s="539"/>
      <c r="L107" s="536">
        <f t="shared" si="1"/>
        <v>0</v>
      </c>
      <c r="M107" s="541" t="s">
        <v>1007</v>
      </c>
    </row>
    <row r="108" spans="1:13" customFormat="1" ht="56.25" hidden="1" x14ac:dyDescent="0.25">
      <c r="A108" s="949" t="s">
        <v>473</v>
      </c>
      <c r="B108" s="950"/>
      <c r="C108" s="950"/>
      <c r="D108" s="951" t="s">
        <v>252</v>
      </c>
      <c r="E108" s="950"/>
      <c r="F108" s="950"/>
      <c r="G108" s="952"/>
      <c r="H108" s="952"/>
      <c r="I108" s="952">
        <f>I109</f>
        <v>0</v>
      </c>
      <c r="J108" s="952"/>
      <c r="K108" s="334"/>
      <c r="L108" s="536">
        <f t="shared" si="1"/>
        <v>0</v>
      </c>
      <c r="M108" s="458" t="e">
        <f>I108-#REF!</f>
        <v>#REF!</v>
      </c>
    </row>
    <row r="109" spans="1:13" customFormat="1" ht="56.25" hidden="1" x14ac:dyDescent="0.25">
      <c r="A109" s="950" t="s">
        <v>474</v>
      </c>
      <c r="B109" s="950"/>
      <c r="C109" s="950"/>
      <c r="D109" s="951" t="s">
        <v>252</v>
      </c>
      <c r="E109" s="950"/>
      <c r="F109" s="950"/>
      <c r="G109" s="952"/>
      <c r="H109" s="952"/>
      <c r="I109" s="952">
        <f>I110+I111+I112+I113+I114+I115+I116+I117</f>
        <v>0</v>
      </c>
      <c r="J109" s="952"/>
      <c r="K109" s="334"/>
      <c r="L109" s="536">
        <f t="shared" si="1"/>
        <v>0</v>
      </c>
      <c r="M109" s="458" t="e">
        <f>I109-#REF!</f>
        <v>#REF!</v>
      </c>
    </row>
    <row r="110" spans="1:13" s="279" customFormat="1" ht="37.5" hidden="1" x14ac:dyDescent="0.3">
      <c r="A110" s="953">
        <v>2818313</v>
      </c>
      <c r="B110" s="953">
        <v>8313</v>
      </c>
      <c r="C110" s="953" t="s">
        <v>281</v>
      </c>
      <c r="D110" s="337" t="s">
        <v>161</v>
      </c>
      <c r="E110" s="280" t="s">
        <v>671</v>
      </c>
      <c r="F110" s="280"/>
      <c r="G110" s="307"/>
      <c r="H110" s="307"/>
      <c r="I110" s="307"/>
      <c r="J110" s="307"/>
      <c r="K110" s="335"/>
      <c r="L110" s="536">
        <f t="shared" si="1"/>
        <v>0</v>
      </c>
      <c r="M110" s="458" t="e">
        <f>I110-#REF!</f>
        <v>#REF!</v>
      </c>
    </row>
    <row r="111" spans="1:13" s="279" customFormat="1" ht="37.5" hidden="1" x14ac:dyDescent="0.3">
      <c r="A111" s="954"/>
      <c r="B111" s="954"/>
      <c r="C111" s="954"/>
      <c r="D111" s="338"/>
      <c r="E111" s="280" t="s">
        <v>672</v>
      </c>
      <c r="F111" s="280"/>
      <c r="G111" s="307"/>
      <c r="H111" s="307"/>
      <c r="I111" s="307"/>
      <c r="J111" s="307"/>
      <c r="K111" s="335"/>
      <c r="L111" s="536">
        <f t="shared" si="1"/>
        <v>0</v>
      </c>
      <c r="M111" s="458" t="e">
        <f>I111-#REF!</f>
        <v>#REF!</v>
      </c>
    </row>
    <row r="112" spans="1:13" s="279" customFormat="1" ht="56.25" hidden="1" x14ac:dyDescent="0.3">
      <c r="A112" s="954"/>
      <c r="B112" s="954"/>
      <c r="C112" s="954"/>
      <c r="D112" s="338"/>
      <c r="E112" s="280" t="s">
        <v>673</v>
      </c>
      <c r="F112" s="280"/>
      <c r="G112" s="307"/>
      <c r="H112" s="307"/>
      <c r="I112" s="307"/>
      <c r="J112" s="307"/>
      <c r="K112" s="335"/>
      <c r="L112" s="536">
        <f t="shared" si="1"/>
        <v>0</v>
      </c>
      <c r="M112" s="458" t="e">
        <f>I112-#REF!</f>
        <v>#REF!</v>
      </c>
    </row>
    <row r="113" spans="1:15" s="279" customFormat="1" ht="37.5" hidden="1" x14ac:dyDescent="0.3">
      <c r="A113" s="954"/>
      <c r="B113" s="954"/>
      <c r="C113" s="954"/>
      <c r="D113" s="338"/>
      <c r="E113" s="280" t="s">
        <v>674</v>
      </c>
      <c r="F113" s="280"/>
      <c r="G113" s="307"/>
      <c r="H113" s="307"/>
      <c r="I113" s="307"/>
      <c r="J113" s="307"/>
      <c r="K113" s="335"/>
      <c r="L113" s="536">
        <f t="shared" si="1"/>
        <v>0</v>
      </c>
      <c r="M113" s="458" t="e">
        <f>I113-#REF!</f>
        <v>#REF!</v>
      </c>
    </row>
    <row r="114" spans="1:15" s="279" customFormat="1" ht="37.5" hidden="1" x14ac:dyDescent="0.3">
      <c r="A114" s="954"/>
      <c r="B114" s="954"/>
      <c r="C114" s="954"/>
      <c r="D114" s="338"/>
      <c r="E114" s="280" t="s">
        <v>675</v>
      </c>
      <c r="F114" s="280"/>
      <c r="G114" s="307"/>
      <c r="H114" s="307"/>
      <c r="I114" s="307"/>
      <c r="J114" s="307"/>
      <c r="K114" s="335"/>
      <c r="L114" s="536">
        <f t="shared" si="1"/>
        <v>0</v>
      </c>
      <c r="M114" s="458" t="e">
        <f>I114-#REF!</f>
        <v>#REF!</v>
      </c>
    </row>
    <row r="115" spans="1:15" s="279" customFormat="1" ht="37.5" hidden="1" x14ac:dyDescent="0.3">
      <c r="A115" s="954"/>
      <c r="B115" s="954"/>
      <c r="C115" s="954"/>
      <c r="D115" s="338"/>
      <c r="E115" s="280" t="s">
        <v>676</v>
      </c>
      <c r="F115" s="280"/>
      <c r="G115" s="307"/>
      <c r="H115" s="307"/>
      <c r="I115" s="307"/>
      <c r="J115" s="307"/>
      <c r="K115" s="335"/>
      <c r="L115" s="536">
        <f t="shared" si="1"/>
        <v>0</v>
      </c>
      <c r="M115" s="458" t="e">
        <f>I115-#REF!</f>
        <v>#REF!</v>
      </c>
    </row>
    <row r="116" spans="1:15" s="279" customFormat="1" ht="56.25" hidden="1" x14ac:dyDescent="0.3">
      <c r="A116" s="954"/>
      <c r="B116" s="954"/>
      <c r="C116" s="954"/>
      <c r="D116" s="338"/>
      <c r="E116" s="280" t="s">
        <v>677</v>
      </c>
      <c r="F116" s="280"/>
      <c r="G116" s="307"/>
      <c r="H116" s="307"/>
      <c r="I116" s="307"/>
      <c r="J116" s="307"/>
      <c r="K116" s="335"/>
      <c r="L116" s="536">
        <f t="shared" si="1"/>
        <v>0</v>
      </c>
      <c r="M116" s="458" t="e">
        <f>I116-#REF!</f>
        <v>#REF!</v>
      </c>
    </row>
    <row r="117" spans="1:15" s="279" customFormat="1" ht="18.75" hidden="1" x14ac:dyDescent="0.25">
      <c r="A117" s="955"/>
      <c r="B117" s="955"/>
      <c r="C117" s="955"/>
      <c r="D117" s="318"/>
      <c r="E117" s="956"/>
      <c r="F117" s="956"/>
      <c r="G117" s="483"/>
      <c r="H117" s="483"/>
      <c r="I117" s="483"/>
      <c r="J117" s="483"/>
      <c r="K117" s="336"/>
      <c r="L117" s="536">
        <f t="shared" si="1"/>
        <v>0</v>
      </c>
      <c r="M117" s="458" t="e">
        <f>I117-#REF!</f>
        <v>#REF!</v>
      </c>
    </row>
    <row r="118" spans="1:15" s="542" customFormat="1" ht="18.75" x14ac:dyDescent="0.25">
      <c r="A118" s="957" t="s">
        <v>746</v>
      </c>
      <c r="B118" s="957" t="s">
        <v>746</v>
      </c>
      <c r="C118" s="957" t="s">
        <v>746</v>
      </c>
      <c r="D118" s="958" t="s">
        <v>753</v>
      </c>
      <c r="E118" s="959" t="s">
        <v>746</v>
      </c>
      <c r="F118" s="960" t="s">
        <v>746</v>
      </c>
      <c r="G118" s="1580" t="s">
        <v>746</v>
      </c>
      <c r="H118" s="1580"/>
      <c r="I118" s="1580">
        <f>I32+I26+I108+I29+I13+I19</f>
        <v>125594582.98000002</v>
      </c>
      <c r="J118" s="1580" t="s">
        <v>746</v>
      </c>
      <c r="K118" s="510">
        <f>SUBTOTAL(9,K11:K101)</f>
        <v>144622240.98000002</v>
      </c>
      <c r="L118" s="536">
        <f t="shared" si="1"/>
        <v>125594582.98000002</v>
      </c>
      <c r="N118" s="542">
        <f>SUBTOTAL(9,N13:N101)</f>
        <v>12027657.999999998</v>
      </c>
    </row>
    <row r="119" spans="1:15" ht="18.75" hidden="1" x14ac:dyDescent="0.25">
      <c r="A119" s="543"/>
      <c r="B119" s="543"/>
      <c r="C119" s="543"/>
      <c r="D119" s="543"/>
      <c r="E119" s="339"/>
      <c r="F119" s="339"/>
      <c r="G119" s="336"/>
      <c r="H119" s="336"/>
      <c r="I119" s="336"/>
      <c r="J119" s="336"/>
      <c r="K119" s="336" t="e">
        <f>K118+#REF!</f>
        <v>#REF!</v>
      </c>
      <c r="L119" s="536">
        <f>I119</f>
        <v>0</v>
      </c>
    </row>
    <row r="120" spans="1:15" ht="18.75" x14ac:dyDescent="0.25">
      <c r="A120" s="543"/>
      <c r="B120" s="543"/>
      <c r="C120" s="543"/>
      <c r="D120" s="543"/>
      <c r="E120" s="339"/>
      <c r="F120" s="339"/>
      <c r="G120" s="336"/>
      <c r="H120" s="336"/>
      <c r="I120" s="336"/>
      <c r="J120" s="336"/>
      <c r="K120" s="336">
        <f>K118-I118</f>
        <v>19027658</v>
      </c>
      <c r="L120" s="538">
        <v>1</v>
      </c>
    </row>
    <row r="121" spans="1:15" ht="18.75" x14ac:dyDescent="0.25">
      <c r="A121" s="543"/>
      <c r="B121" s="543"/>
      <c r="C121" s="543"/>
      <c r="D121" s="543"/>
      <c r="E121" s="339"/>
      <c r="F121" s="339"/>
      <c r="G121" s="336"/>
      <c r="H121" s="336"/>
      <c r="I121" s="336"/>
      <c r="J121" s="336"/>
      <c r="K121" s="336"/>
      <c r="L121" s="538">
        <v>1</v>
      </c>
    </row>
    <row r="122" spans="1:15" s="515" customFormat="1" ht="18.75" x14ac:dyDescent="0.3">
      <c r="A122" s="128" t="s">
        <v>174</v>
      </c>
      <c r="B122" s="1009"/>
      <c r="C122" s="243"/>
      <c r="D122" s="244"/>
      <c r="E122" s="242"/>
      <c r="F122" s="301"/>
      <c r="G122" s="128" t="s">
        <v>1171</v>
      </c>
      <c r="H122" s="1055"/>
      <c r="J122" s="230"/>
      <c r="K122" s="14"/>
      <c r="L122" s="14">
        <v>1</v>
      </c>
      <c r="M122" s="14"/>
      <c r="N122" s="14"/>
      <c r="O122" s="128"/>
    </row>
    <row r="123" spans="1:15" customFormat="1" ht="15" hidden="1" customHeight="1" x14ac:dyDescent="0.2">
      <c r="A123" s="33"/>
      <c r="B123" s="33"/>
      <c r="C123" s="33"/>
      <c r="D123" s="33"/>
      <c r="E123" s="33"/>
      <c r="F123" s="33"/>
      <c r="G123" s="33"/>
      <c r="H123" s="33"/>
      <c r="I123" s="33"/>
      <c r="J123" s="33"/>
      <c r="K123" s="33"/>
    </row>
    <row r="124" spans="1:15" s="70" customFormat="1" ht="15" hidden="1" customHeight="1" x14ac:dyDescent="0.2">
      <c r="A124" s="195"/>
      <c r="B124" s="195"/>
      <c r="C124" s="195"/>
      <c r="D124" s="195" t="s">
        <v>79</v>
      </c>
      <c r="E124" s="195"/>
      <c r="F124" s="195"/>
      <c r="G124" s="195"/>
      <c r="H124" s="195"/>
      <c r="I124" s="961">
        <f>I27+I33+I109+I30+I20+I14</f>
        <v>125594582.98000002</v>
      </c>
      <c r="J124" s="196"/>
      <c r="K124" s="196"/>
    </row>
    <row r="125" spans="1:15" customFormat="1" ht="17.45" hidden="1" customHeight="1" x14ac:dyDescent="0.25">
      <c r="A125" s="32"/>
      <c r="B125" s="32"/>
      <c r="C125" s="32"/>
      <c r="D125" s="199"/>
      <c r="E125" s="199"/>
      <c r="F125" s="199"/>
      <c r="G125" s="199"/>
      <c r="H125" s="199"/>
      <c r="I125" s="200">
        <f>I118-I124</f>
        <v>0</v>
      </c>
      <c r="J125" s="200"/>
      <c r="K125" s="200"/>
    </row>
    <row r="126" spans="1:15" customFormat="1" ht="17.45" hidden="1" customHeight="1" x14ac:dyDescent="0.25">
      <c r="A126" s="66"/>
      <c r="B126" s="66"/>
      <c r="C126" s="66"/>
      <c r="D126" s="66"/>
      <c r="E126" s="66"/>
      <c r="F126" s="66"/>
      <c r="G126" s="32"/>
      <c r="H126" s="32"/>
      <c r="I126" s="32"/>
      <c r="J126" s="32"/>
      <c r="K126" s="32"/>
    </row>
    <row r="127" spans="1:15" customFormat="1" ht="17.45" hidden="1" customHeight="1" x14ac:dyDescent="0.25">
      <c r="A127" s="66"/>
      <c r="B127" s="66"/>
      <c r="C127" s="66"/>
      <c r="D127" s="66"/>
      <c r="E127" s="66"/>
      <c r="F127" s="66"/>
      <c r="G127" s="32"/>
      <c r="H127" s="32"/>
      <c r="I127" s="32"/>
      <c r="J127" s="32"/>
      <c r="K127" s="32"/>
    </row>
    <row r="128" spans="1:15" customFormat="1" ht="17.45" hidden="1" customHeight="1" x14ac:dyDescent="0.25">
      <c r="A128" s="66"/>
      <c r="B128" s="66"/>
      <c r="C128" s="66"/>
      <c r="D128" s="66"/>
      <c r="E128" s="66"/>
      <c r="F128" s="66"/>
      <c r="G128" s="32"/>
      <c r="H128" s="32"/>
      <c r="I128" s="32"/>
      <c r="J128" s="32"/>
      <c r="K128" s="32"/>
    </row>
    <row r="129" spans="1:11" customFormat="1" ht="17.45" hidden="1" customHeight="1" x14ac:dyDescent="0.25">
      <c r="A129" s="66"/>
      <c r="B129" s="66"/>
      <c r="C129" s="66"/>
      <c r="D129" s="66"/>
      <c r="E129" s="66"/>
      <c r="F129" s="66"/>
      <c r="G129" s="32"/>
      <c r="H129" s="32"/>
      <c r="I129" s="32"/>
      <c r="J129" s="32"/>
      <c r="K129" s="32"/>
    </row>
    <row r="130" spans="1:11" customFormat="1" ht="17.45" hidden="1" customHeight="1" x14ac:dyDescent="0.25">
      <c r="A130" s="66"/>
      <c r="B130" s="66"/>
      <c r="C130" s="66"/>
      <c r="D130" s="66"/>
      <c r="E130" s="66"/>
      <c r="F130" s="66"/>
      <c r="G130" s="32"/>
      <c r="H130" s="32"/>
      <c r="I130" s="32"/>
      <c r="J130" s="32"/>
      <c r="K130" s="32"/>
    </row>
    <row r="131" spans="1:11" customFormat="1" ht="17.45" hidden="1" customHeight="1" x14ac:dyDescent="0.25">
      <c r="A131" s="66"/>
      <c r="B131" s="66"/>
      <c r="C131" s="66"/>
      <c r="D131" s="66"/>
      <c r="E131" s="66"/>
      <c r="F131" s="66"/>
      <c r="G131" s="32"/>
      <c r="H131" s="32"/>
      <c r="I131" s="32"/>
      <c r="J131" s="32"/>
      <c r="K131" s="32"/>
    </row>
    <row r="132" spans="1:11" customFormat="1" ht="17.45" hidden="1" customHeight="1" x14ac:dyDescent="0.25">
      <c r="A132" s="66"/>
      <c r="B132" s="66"/>
      <c r="C132" s="66"/>
      <c r="D132" s="66"/>
      <c r="E132" s="66"/>
      <c r="F132" s="66"/>
      <c r="G132" s="32"/>
      <c r="H132" s="32"/>
      <c r="I132" s="32"/>
      <c r="J132" s="32"/>
      <c r="K132" s="32"/>
    </row>
    <row r="133" spans="1:11" customFormat="1" ht="17.45" hidden="1" customHeight="1" x14ac:dyDescent="0.25">
      <c r="A133" s="66"/>
      <c r="B133" s="66"/>
      <c r="C133" s="66"/>
      <c r="D133" s="66"/>
      <c r="E133" s="66"/>
      <c r="F133" s="66"/>
      <c r="G133" s="32"/>
      <c r="H133" s="32"/>
      <c r="I133" s="32"/>
      <c r="J133" s="32"/>
      <c r="K133" s="32"/>
    </row>
    <row r="134" spans="1:11" customFormat="1" ht="17.45" hidden="1" customHeight="1" x14ac:dyDescent="0.25">
      <c r="A134" s="66"/>
      <c r="B134" s="66"/>
      <c r="C134" s="66"/>
      <c r="D134" s="66"/>
      <c r="E134" s="66"/>
      <c r="F134" s="66"/>
      <c r="G134" s="32"/>
      <c r="H134" s="32"/>
      <c r="I134" s="32"/>
      <c r="J134" s="32"/>
      <c r="K134" s="32"/>
    </row>
    <row r="135" spans="1:11" customFormat="1" ht="17.45" hidden="1" customHeight="1" x14ac:dyDescent="0.25">
      <c r="A135" s="66"/>
      <c r="B135" s="66"/>
      <c r="C135" s="66"/>
      <c r="D135" s="66"/>
      <c r="E135" s="66"/>
      <c r="F135" s="66"/>
      <c r="G135" s="32"/>
      <c r="H135" s="32"/>
      <c r="I135" s="32"/>
      <c r="J135" s="32"/>
      <c r="K135" s="32"/>
    </row>
    <row r="136" spans="1:11" customFormat="1" ht="17.45" hidden="1" customHeight="1" x14ac:dyDescent="0.25">
      <c r="A136" s="66"/>
      <c r="B136" s="66"/>
      <c r="C136" s="66"/>
      <c r="D136" s="66"/>
      <c r="E136" s="66"/>
      <c r="F136" s="66"/>
      <c r="G136" s="32"/>
      <c r="H136" s="32"/>
      <c r="I136" s="32"/>
      <c r="J136" s="32"/>
      <c r="K136" s="32"/>
    </row>
    <row r="137" spans="1:11" customFormat="1" ht="17.45" hidden="1" customHeight="1" x14ac:dyDescent="0.25">
      <c r="A137" s="66"/>
      <c r="B137" s="66"/>
      <c r="C137" s="66"/>
      <c r="D137" s="66"/>
      <c r="E137" s="66"/>
      <c r="F137" s="66"/>
      <c r="G137" s="32"/>
      <c r="H137" s="32"/>
      <c r="I137" s="32"/>
      <c r="J137" s="32"/>
      <c r="K137" s="32"/>
    </row>
    <row r="138" spans="1:11" customFormat="1" ht="17.45" hidden="1" customHeight="1" x14ac:dyDescent="0.25">
      <c r="A138" s="66"/>
      <c r="B138" s="66"/>
      <c r="C138" s="66"/>
      <c r="D138" s="66"/>
      <c r="E138" s="66"/>
      <c r="F138" s="66"/>
      <c r="G138" s="32"/>
      <c r="H138" s="32"/>
      <c r="I138" s="32"/>
      <c r="J138" s="32"/>
      <c r="K138" s="32"/>
    </row>
    <row r="139" spans="1:11" customFormat="1" ht="17.45" hidden="1" customHeight="1" x14ac:dyDescent="0.25">
      <c r="A139" s="66"/>
      <c r="B139" s="66"/>
      <c r="C139" s="66"/>
      <c r="D139" s="66"/>
      <c r="E139" s="66"/>
      <c r="F139" s="66"/>
      <c r="G139" s="32"/>
      <c r="H139" s="32"/>
      <c r="I139" s="32"/>
      <c r="J139" s="32"/>
      <c r="K139" s="32"/>
    </row>
    <row r="140" spans="1:11" customFormat="1" ht="17.45" hidden="1" customHeight="1" x14ac:dyDescent="0.25">
      <c r="A140" s="66"/>
      <c r="B140" s="66"/>
      <c r="C140" s="66"/>
      <c r="D140" s="66"/>
      <c r="E140" s="66"/>
      <c r="F140" s="66"/>
      <c r="G140" s="32"/>
      <c r="H140" s="32"/>
      <c r="I140" s="32"/>
      <c r="J140" s="32"/>
      <c r="K140" s="32"/>
    </row>
    <row r="141" spans="1:11" customFormat="1" ht="17.45" hidden="1" customHeight="1" x14ac:dyDescent="0.25">
      <c r="A141" s="66"/>
      <c r="B141" s="66"/>
      <c r="C141" s="66"/>
      <c r="D141" s="66"/>
      <c r="E141" s="66"/>
      <c r="F141" s="66"/>
      <c r="G141" s="32"/>
      <c r="H141" s="32"/>
      <c r="I141" s="32"/>
      <c r="J141" s="32"/>
      <c r="K141" s="32"/>
    </row>
    <row r="142" spans="1:11" customFormat="1" ht="17.45" hidden="1" customHeight="1" x14ac:dyDescent="0.25">
      <c r="A142" s="66"/>
      <c r="B142" s="66"/>
      <c r="C142" s="66"/>
      <c r="D142" s="66"/>
      <c r="E142" s="66"/>
      <c r="F142" s="66"/>
      <c r="G142" s="32"/>
      <c r="H142" s="32"/>
      <c r="I142" s="32"/>
      <c r="J142" s="32"/>
      <c r="K142" s="32"/>
    </row>
    <row r="143" spans="1:11" customFormat="1" ht="17.45" hidden="1" customHeight="1" x14ac:dyDescent="0.25">
      <c r="A143" s="66"/>
      <c r="B143" s="66"/>
      <c r="C143" s="66"/>
      <c r="D143" s="66"/>
      <c r="E143" s="66"/>
      <c r="F143" s="66"/>
      <c r="G143" s="32"/>
      <c r="H143" s="32"/>
      <c r="I143" s="32"/>
      <c r="J143" s="32"/>
      <c r="K143" s="32"/>
    </row>
    <row r="144" spans="1:11" customFormat="1" ht="17.45" hidden="1" customHeight="1" x14ac:dyDescent="0.25">
      <c r="A144" s="66"/>
      <c r="B144" s="66"/>
      <c r="C144" s="66"/>
      <c r="D144" s="66"/>
      <c r="E144" s="66"/>
      <c r="F144" s="66"/>
      <c r="G144" s="32"/>
      <c r="H144" s="32"/>
      <c r="I144" s="32"/>
      <c r="J144" s="32"/>
      <c r="K144" s="32"/>
    </row>
    <row r="145" spans="1:11" customFormat="1" ht="17.45" hidden="1" customHeight="1" x14ac:dyDescent="0.25">
      <c r="A145" s="66"/>
      <c r="B145" s="66"/>
      <c r="C145" s="66"/>
      <c r="D145" s="66"/>
      <c r="E145" s="66"/>
      <c r="F145" s="66"/>
      <c r="G145" s="32"/>
      <c r="H145" s="32"/>
      <c r="I145" s="32"/>
      <c r="J145" s="32"/>
      <c r="K145" s="32"/>
    </row>
    <row r="146" spans="1:11" customFormat="1" ht="17.45" hidden="1" customHeight="1" x14ac:dyDescent="0.25">
      <c r="A146" s="66"/>
      <c r="B146" s="66"/>
      <c r="C146" s="66"/>
      <c r="D146" s="66"/>
      <c r="E146" s="66"/>
      <c r="F146" s="66"/>
      <c r="G146" s="32"/>
      <c r="H146" s="32"/>
      <c r="I146" s="32"/>
      <c r="J146" s="32"/>
      <c r="K146" s="32"/>
    </row>
    <row r="147" spans="1:11" customFormat="1" ht="17.45" hidden="1" customHeight="1" x14ac:dyDescent="0.25">
      <c r="A147" s="66"/>
      <c r="B147" s="66"/>
      <c r="C147" s="66"/>
      <c r="D147" s="66"/>
      <c r="E147" s="66"/>
      <c r="F147" s="66"/>
      <c r="G147" s="32"/>
      <c r="H147" s="32"/>
      <c r="I147" s="32"/>
      <c r="J147" s="32"/>
      <c r="K147" s="32"/>
    </row>
    <row r="148" spans="1:11" customFormat="1" ht="17.45" hidden="1" customHeight="1" x14ac:dyDescent="0.25">
      <c r="A148" s="66"/>
      <c r="B148" s="66"/>
      <c r="C148" s="66"/>
      <c r="D148" s="66"/>
      <c r="E148" s="66"/>
      <c r="F148" s="66"/>
      <c r="G148" s="32"/>
      <c r="H148" s="32"/>
      <c r="I148" s="32"/>
      <c r="J148" s="32"/>
      <c r="K148" s="32"/>
    </row>
    <row r="149" spans="1:11" customFormat="1" ht="17.45" hidden="1" customHeight="1" x14ac:dyDescent="0.25">
      <c r="A149" s="66"/>
      <c r="B149" s="66"/>
      <c r="C149" s="66"/>
      <c r="D149" s="66"/>
      <c r="E149" s="66"/>
      <c r="F149" s="66"/>
      <c r="G149" s="32"/>
      <c r="H149" s="32"/>
      <c r="I149" s="32"/>
      <c r="J149" s="32"/>
      <c r="K149" s="32"/>
    </row>
    <row r="150" spans="1:11" customFormat="1" ht="17.45" hidden="1" customHeight="1" x14ac:dyDescent="0.25">
      <c r="A150" s="66"/>
      <c r="B150" s="66"/>
      <c r="C150" s="66"/>
      <c r="D150" s="66"/>
      <c r="E150" s="66"/>
      <c r="F150" s="66"/>
      <c r="G150" s="32"/>
      <c r="H150" s="32"/>
      <c r="I150" s="32"/>
      <c r="J150" s="32"/>
      <c r="K150" s="32"/>
    </row>
    <row r="151" spans="1:11" customFormat="1" ht="13.15" hidden="1" customHeight="1" x14ac:dyDescent="0.2">
      <c r="G151" s="4"/>
      <c r="H151" s="4"/>
      <c r="I151" s="4"/>
      <c r="J151" s="4"/>
      <c r="K151" s="4"/>
    </row>
    <row r="152" spans="1:11" customFormat="1" ht="13.15" hidden="1" customHeight="1" x14ac:dyDescent="0.2">
      <c r="G152" s="4"/>
      <c r="H152" s="4"/>
      <c r="I152" s="4"/>
      <c r="J152" s="4"/>
      <c r="K152" s="4"/>
    </row>
    <row r="153" spans="1:11" customFormat="1" ht="13.15" hidden="1" customHeight="1" x14ac:dyDescent="0.2">
      <c r="G153" s="4"/>
      <c r="H153" s="4"/>
      <c r="I153" s="4"/>
      <c r="J153" s="4"/>
      <c r="K153" s="4"/>
    </row>
    <row r="154" spans="1:11" customFormat="1" ht="13.15" hidden="1" customHeight="1" x14ac:dyDescent="0.2">
      <c r="G154" s="4"/>
      <c r="H154" s="4"/>
      <c r="I154" s="4"/>
      <c r="J154" s="4"/>
      <c r="K154" s="4"/>
    </row>
    <row r="155" spans="1:11" customFormat="1" ht="13.15" hidden="1" customHeight="1" x14ac:dyDescent="0.2">
      <c r="G155" s="4"/>
      <c r="H155" s="4"/>
      <c r="I155" s="4"/>
      <c r="J155" s="4"/>
      <c r="K155" s="4"/>
    </row>
    <row r="156" spans="1:11" customFormat="1" ht="13.15" hidden="1" customHeight="1" x14ac:dyDescent="0.2">
      <c r="G156" s="4"/>
      <c r="H156" s="4"/>
      <c r="I156" s="4"/>
      <c r="J156" s="4"/>
      <c r="K156" s="4"/>
    </row>
    <row r="157" spans="1:11" customFormat="1" ht="13.15" hidden="1" customHeight="1" x14ac:dyDescent="0.2">
      <c r="G157" s="4"/>
      <c r="H157" s="4"/>
      <c r="I157" s="4"/>
      <c r="J157" s="4"/>
      <c r="K157" s="4"/>
    </row>
    <row r="158" spans="1:11" customFormat="1" ht="13.15" hidden="1" customHeight="1" x14ac:dyDescent="0.2">
      <c r="G158" s="4"/>
      <c r="H158" s="4"/>
      <c r="I158" s="4"/>
      <c r="J158" s="4"/>
      <c r="K158" s="4"/>
    </row>
    <row r="159" spans="1:11" customFormat="1" ht="13.15" hidden="1" customHeight="1" x14ac:dyDescent="0.2">
      <c r="G159" s="4"/>
      <c r="H159" s="4"/>
      <c r="I159" s="4"/>
      <c r="J159" s="4"/>
      <c r="K159" s="4"/>
    </row>
    <row r="160" spans="1:11" customFormat="1" ht="13.15" hidden="1" customHeight="1" x14ac:dyDescent="0.2">
      <c r="G160" s="4"/>
      <c r="H160" s="4"/>
      <c r="I160" s="4"/>
      <c r="J160" s="4"/>
      <c r="K160" s="4"/>
    </row>
    <row r="161" spans="7:11" customFormat="1" ht="13.15" hidden="1" customHeight="1" x14ac:dyDescent="0.2">
      <c r="G161" s="4"/>
      <c r="H161" s="4"/>
      <c r="I161" s="4"/>
      <c r="J161" s="4"/>
      <c r="K161" s="4"/>
    </row>
    <row r="162" spans="7:11" customFormat="1" ht="13.15" hidden="1" customHeight="1" x14ac:dyDescent="0.2">
      <c r="G162" s="4"/>
      <c r="H162" s="4"/>
      <c r="I162" s="4"/>
      <c r="J162" s="4"/>
      <c r="K162" s="4"/>
    </row>
    <row r="163" spans="7:11" customFormat="1" ht="13.15" hidden="1" customHeight="1" x14ac:dyDescent="0.2">
      <c r="G163" s="4"/>
      <c r="H163" s="4"/>
      <c r="I163" s="4"/>
      <c r="J163" s="4"/>
      <c r="K163" s="4"/>
    </row>
    <row r="164" spans="7:11" customFormat="1" ht="13.15" hidden="1" customHeight="1" x14ac:dyDescent="0.2">
      <c r="G164" s="4"/>
      <c r="H164" s="4"/>
      <c r="I164" s="4"/>
      <c r="J164" s="4"/>
      <c r="K164" s="4"/>
    </row>
    <row r="165" spans="7:11" customFormat="1" ht="13.15" hidden="1" customHeight="1" x14ac:dyDescent="0.2">
      <c r="G165" s="4"/>
      <c r="H165" s="4"/>
      <c r="I165" s="4"/>
      <c r="J165" s="4"/>
      <c r="K165" s="4"/>
    </row>
    <row r="166" spans="7:11" customFormat="1" ht="13.15" hidden="1" customHeight="1" x14ac:dyDescent="0.2">
      <c r="G166" s="4"/>
      <c r="H166" s="4"/>
      <c r="I166" s="4"/>
      <c r="J166" s="4"/>
      <c r="K166" s="4"/>
    </row>
    <row r="167" spans="7:11" customFormat="1" ht="13.15" hidden="1" customHeight="1" x14ac:dyDescent="0.2">
      <c r="G167" s="4"/>
      <c r="H167" s="4"/>
      <c r="I167" s="4"/>
      <c r="J167" s="4"/>
      <c r="K167" s="4"/>
    </row>
    <row r="168" spans="7:11" customFormat="1" ht="13.15" hidden="1" customHeight="1" x14ac:dyDescent="0.2">
      <c r="G168" s="4"/>
      <c r="H168" s="4"/>
      <c r="I168" s="4"/>
      <c r="J168" s="4"/>
      <c r="K168" s="4"/>
    </row>
    <row r="169" spans="7:11" customFormat="1" ht="13.15" hidden="1" customHeight="1" x14ac:dyDescent="0.2">
      <c r="G169" s="4"/>
      <c r="H169" s="4"/>
      <c r="I169" s="4"/>
      <c r="J169" s="4"/>
      <c r="K169" s="4"/>
    </row>
    <row r="170" spans="7:11" customFormat="1" ht="13.15" hidden="1" customHeight="1" x14ac:dyDescent="0.2">
      <c r="G170" s="4"/>
      <c r="H170" s="4"/>
      <c r="I170" s="4"/>
      <c r="J170" s="4"/>
      <c r="K170" s="4"/>
    </row>
    <row r="171" spans="7:11" customFormat="1" ht="13.15" hidden="1" customHeight="1" x14ac:dyDescent="0.2">
      <c r="G171" s="4"/>
      <c r="H171" s="4"/>
      <c r="I171" s="4"/>
      <c r="J171" s="4"/>
      <c r="K171" s="4"/>
    </row>
    <row r="172" spans="7:11" customFormat="1" ht="13.15" hidden="1" customHeight="1" x14ac:dyDescent="0.2">
      <c r="G172" s="4"/>
      <c r="H172" s="4"/>
      <c r="I172" s="4"/>
      <c r="J172" s="4"/>
      <c r="K172" s="4"/>
    </row>
    <row r="173" spans="7:11" customFormat="1" ht="13.15" hidden="1" customHeight="1" x14ac:dyDescent="0.2">
      <c r="G173" s="4"/>
      <c r="H173" s="4"/>
      <c r="I173" s="4"/>
      <c r="J173" s="4"/>
      <c r="K173" s="4"/>
    </row>
    <row r="174" spans="7:11" customFormat="1" ht="13.15" hidden="1" customHeight="1" x14ac:dyDescent="0.2">
      <c r="G174" s="4"/>
      <c r="H174" s="4"/>
      <c r="I174" s="4"/>
      <c r="J174" s="4"/>
      <c r="K174" s="4"/>
    </row>
    <row r="175" spans="7:11" customFormat="1" ht="13.15" hidden="1" customHeight="1" x14ac:dyDescent="0.2">
      <c r="G175" s="4"/>
      <c r="H175" s="4"/>
      <c r="I175" s="4"/>
      <c r="J175" s="4"/>
      <c r="K175" s="4"/>
    </row>
    <row r="176" spans="7:11" customFormat="1" ht="13.15" hidden="1" customHeight="1" x14ac:dyDescent="0.2">
      <c r="G176" s="4"/>
      <c r="H176" s="4"/>
      <c r="I176" s="4"/>
      <c r="J176" s="4"/>
      <c r="K176" s="4"/>
    </row>
    <row r="177" spans="7:11" customFormat="1" ht="13.15" hidden="1" customHeight="1" x14ac:dyDescent="0.2">
      <c r="G177" s="4"/>
      <c r="H177" s="4"/>
      <c r="I177" s="4"/>
      <c r="J177" s="4"/>
      <c r="K177" s="4"/>
    </row>
    <row r="178" spans="7:11" customFormat="1" ht="13.15" hidden="1" customHeight="1" x14ac:dyDescent="0.2">
      <c r="G178" s="4"/>
      <c r="H178" s="4"/>
      <c r="I178" s="4"/>
      <c r="J178" s="4"/>
      <c r="K178" s="4"/>
    </row>
    <row r="179" spans="7:11" customFormat="1" ht="13.15" hidden="1" customHeight="1" x14ac:dyDescent="0.2">
      <c r="G179" s="4"/>
      <c r="H179" s="4"/>
      <c r="I179" s="4"/>
      <c r="J179" s="4"/>
      <c r="K179" s="4"/>
    </row>
    <row r="180" spans="7:11" customFormat="1" ht="13.15" hidden="1" customHeight="1" x14ac:dyDescent="0.2">
      <c r="G180" s="4"/>
      <c r="H180" s="4"/>
      <c r="I180" s="4"/>
      <c r="J180" s="4"/>
      <c r="K180" s="4"/>
    </row>
    <row r="181" spans="7:11" customFormat="1" ht="13.15" hidden="1" customHeight="1" x14ac:dyDescent="0.2">
      <c r="G181" s="4"/>
      <c r="H181" s="4"/>
      <c r="I181" s="4"/>
      <c r="J181" s="4"/>
      <c r="K181" s="4"/>
    </row>
    <row r="182" spans="7:11" customFormat="1" ht="13.15" hidden="1" customHeight="1" x14ac:dyDescent="0.2">
      <c r="G182" s="4"/>
      <c r="H182" s="4"/>
      <c r="I182" s="4"/>
      <c r="J182" s="4"/>
      <c r="K182" s="4"/>
    </row>
    <row r="183" spans="7:11" customFormat="1" ht="13.15" hidden="1" customHeight="1" x14ac:dyDescent="0.2">
      <c r="G183" s="4"/>
      <c r="H183" s="4"/>
      <c r="I183" s="4"/>
      <c r="J183" s="4"/>
      <c r="K183" s="4"/>
    </row>
    <row r="184" spans="7:11" customFormat="1" ht="13.15" hidden="1" customHeight="1" x14ac:dyDescent="0.2">
      <c r="G184" s="4"/>
      <c r="H184" s="4"/>
      <c r="I184" s="4"/>
      <c r="J184" s="4"/>
      <c r="K184" s="4"/>
    </row>
    <row r="185" spans="7:11" customFormat="1" ht="13.15" hidden="1" customHeight="1" x14ac:dyDescent="0.2">
      <c r="G185" s="4"/>
      <c r="H185" s="4"/>
      <c r="I185" s="4"/>
      <c r="J185" s="4"/>
      <c r="K185" s="4"/>
    </row>
    <row r="186" spans="7:11" customFormat="1" ht="13.15" hidden="1" customHeight="1" x14ac:dyDescent="0.2">
      <c r="G186" s="4"/>
      <c r="H186" s="4"/>
      <c r="I186" s="4"/>
      <c r="J186" s="4"/>
      <c r="K186" s="4"/>
    </row>
    <row r="187" spans="7:11" customFormat="1" ht="13.15" hidden="1" customHeight="1" x14ac:dyDescent="0.2">
      <c r="G187" s="4"/>
      <c r="H187" s="4"/>
      <c r="I187" s="4"/>
      <c r="J187" s="4"/>
      <c r="K187" s="4"/>
    </row>
    <row r="188" spans="7:11" customFormat="1" ht="13.15" hidden="1" customHeight="1" x14ac:dyDescent="0.2">
      <c r="G188" s="4"/>
      <c r="H188" s="4"/>
      <c r="I188" s="4"/>
      <c r="J188" s="4"/>
      <c r="K188" s="4"/>
    </row>
    <row r="189" spans="7:11" customFormat="1" ht="13.15" hidden="1" customHeight="1" x14ac:dyDescent="0.2">
      <c r="G189" s="4"/>
      <c r="H189" s="4"/>
      <c r="I189" s="4"/>
      <c r="J189" s="4"/>
      <c r="K189" s="4"/>
    </row>
    <row r="190" spans="7:11" customFormat="1" ht="13.15" hidden="1" customHeight="1" x14ac:dyDescent="0.2">
      <c r="G190" s="4"/>
      <c r="H190" s="4"/>
      <c r="I190" s="4"/>
      <c r="J190" s="4"/>
      <c r="K190" s="4"/>
    </row>
    <row r="191" spans="7:11" customFormat="1" ht="13.15" hidden="1" customHeight="1" x14ac:dyDescent="0.2">
      <c r="G191" s="4"/>
      <c r="H191" s="4"/>
      <c r="I191" s="4"/>
      <c r="J191" s="4"/>
      <c r="K191" s="4"/>
    </row>
    <row r="192" spans="7:11" customFormat="1" ht="13.15" hidden="1" customHeight="1" x14ac:dyDescent="0.2">
      <c r="G192" s="4"/>
      <c r="H192" s="4"/>
      <c r="I192" s="4"/>
      <c r="J192" s="4"/>
      <c r="K192" s="4"/>
    </row>
    <row r="193" spans="7:11" customFormat="1" ht="13.15" hidden="1" customHeight="1" x14ac:dyDescent="0.2">
      <c r="G193" s="4"/>
      <c r="H193" s="4"/>
      <c r="I193" s="4"/>
      <c r="J193" s="4"/>
      <c r="K193" s="4"/>
    </row>
    <row r="194" spans="7:11" customFormat="1" ht="13.15" hidden="1" customHeight="1" x14ac:dyDescent="0.2">
      <c r="G194" s="4"/>
      <c r="H194" s="4"/>
      <c r="I194" s="4"/>
      <c r="J194" s="4"/>
      <c r="K194" s="4"/>
    </row>
    <row r="195" spans="7:11" customFormat="1" ht="13.15" hidden="1" customHeight="1" x14ac:dyDescent="0.2">
      <c r="G195" s="4"/>
      <c r="H195" s="4"/>
      <c r="I195" s="4"/>
      <c r="J195" s="4"/>
      <c r="K195" s="4"/>
    </row>
    <row r="196" spans="7:11" customFormat="1" ht="13.15" hidden="1" customHeight="1" x14ac:dyDescent="0.2">
      <c r="G196" s="4"/>
      <c r="H196" s="4"/>
      <c r="I196" s="4"/>
      <c r="J196" s="4"/>
      <c r="K196" s="4"/>
    </row>
    <row r="197" spans="7:11" customFormat="1" ht="13.15" hidden="1" customHeight="1" x14ac:dyDescent="0.2">
      <c r="G197" s="4"/>
      <c r="H197" s="4"/>
      <c r="I197" s="4"/>
      <c r="J197" s="4"/>
      <c r="K197" s="4"/>
    </row>
    <row r="198" spans="7:11" customFormat="1" ht="13.15" hidden="1" customHeight="1" x14ac:dyDescent="0.2">
      <c r="G198" s="4"/>
      <c r="H198" s="4"/>
      <c r="I198" s="4"/>
      <c r="J198" s="4"/>
      <c r="K198" s="4"/>
    </row>
    <row r="199" spans="7:11" customFormat="1" ht="13.15" hidden="1" customHeight="1" x14ac:dyDescent="0.2">
      <c r="G199" s="4"/>
      <c r="H199" s="4"/>
      <c r="I199" s="4"/>
      <c r="J199" s="4"/>
      <c r="K199" s="4"/>
    </row>
    <row r="200" spans="7:11" customFormat="1" ht="13.15" hidden="1" customHeight="1" x14ac:dyDescent="0.2">
      <c r="G200" s="4"/>
      <c r="H200" s="4"/>
      <c r="I200" s="4"/>
      <c r="J200" s="4"/>
      <c r="K200" s="4"/>
    </row>
    <row r="201" spans="7:11" customFormat="1" ht="13.15" hidden="1" customHeight="1" x14ac:dyDescent="0.2">
      <c r="G201" s="4"/>
      <c r="H201" s="4"/>
      <c r="I201" s="4"/>
      <c r="J201" s="4"/>
      <c r="K201" s="4"/>
    </row>
    <row r="202" spans="7:11" customFormat="1" ht="13.15" hidden="1" customHeight="1" x14ac:dyDescent="0.2">
      <c r="G202" s="4"/>
      <c r="H202" s="4"/>
      <c r="I202" s="4"/>
      <c r="J202" s="4"/>
      <c r="K202" s="4"/>
    </row>
    <row r="203" spans="7:11" customFormat="1" ht="13.15" hidden="1" customHeight="1" x14ac:dyDescent="0.2">
      <c r="G203" s="4"/>
      <c r="H203" s="4"/>
      <c r="I203" s="4"/>
      <c r="J203" s="4"/>
      <c r="K203" s="4"/>
    </row>
    <row r="204" spans="7:11" customFormat="1" ht="13.15" hidden="1" customHeight="1" x14ac:dyDescent="0.2">
      <c r="G204" s="4"/>
      <c r="H204" s="4"/>
      <c r="I204" s="4"/>
      <c r="J204" s="4"/>
      <c r="K204" s="4"/>
    </row>
    <row r="205" spans="7:11" customFormat="1" ht="13.15" hidden="1" customHeight="1" x14ac:dyDescent="0.2">
      <c r="G205" s="4"/>
      <c r="H205" s="4"/>
      <c r="I205" s="4"/>
      <c r="J205" s="4"/>
      <c r="K205" s="4"/>
    </row>
    <row r="206" spans="7:11" customFormat="1" ht="13.15" hidden="1" customHeight="1" x14ac:dyDescent="0.2">
      <c r="G206" s="4"/>
      <c r="H206" s="4"/>
      <c r="I206" s="4"/>
      <c r="J206" s="4"/>
      <c r="K206" s="4"/>
    </row>
    <row r="207" spans="7:11" customFormat="1" ht="13.15" hidden="1" customHeight="1" x14ac:dyDescent="0.2">
      <c r="G207" s="4"/>
      <c r="H207" s="4"/>
      <c r="I207" s="4"/>
      <c r="J207" s="4"/>
      <c r="K207" s="4"/>
    </row>
    <row r="208" spans="7:11" customFormat="1" ht="13.15" hidden="1" customHeight="1" x14ac:dyDescent="0.2">
      <c r="G208" s="4"/>
      <c r="H208" s="4"/>
      <c r="I208" s="4"/>
      <c r="J208" s="4"/>
      <c r="K208" s="4"/>
    </row>
    <row r="209" spans="7:11" customFormat="1" ht="13.15" hidden="1" customHeight="1" x14ac:dyDescent="0.2">
      <c r="G209" s="4"/>
      <c r="H209" s="4"/>
      <c r="I209" s="4"/>
      <c r="J209" s="4"/>
      <c r="K209" s="4"/>
    </row>
    <row r="210" spans="7:11" customFormat="1" ht="13.15" hidden="1" customHeight="1" x14ac:dyDescent="0.2">
      <c r="G210" s="4"/>
      <c r="H210" s="4"/>
      <c r="I210" s="4"/>
      <c r="J210" s="4"/>
      <c r="K210" s="4"/>
    </row>
    <row r="211" spans="7:11" customFormat="1" ht="13.15" hidden="1" customHeight="1" x14ac:dyDescent="0.2">
      <c r="G211" s="4"/>
      <c r="H211" s="4"/>
      <c r="I211" s="4"/>
      <c r="J211" s="4"/>
      <c r="K211" s="4"/>
    </row>
    <row r="212" spans="7:11" customFormat="1" ht="13.15" hidden="1" customHeight="1" x14ac:dyDescent="0.2">
      <c r="G212" s="4"/>
      <c r="H212" s="4"/>
      <c r="I212" s="4"/>
      <c r="J212" s="4"/>
      <c r="K212" s="4"/>
    </row>
    <row r="213" spans="7:11" customFormat="1" ht="13.15" hidden="1" customHeight="1" x14ac:dyDescent="0.2">
      <c r="G213" s="4"/>
      <c r="H213" s="4"/>
      <c r="I213" s="4"/>
      <c r="J213" s="4"/>
      <c r="K213" s="4"/>
    </row>
    <row r="214" spans="7:11" customFormat="1" ht="13.15" hidden="1" customHeight="1" x14ac:dyDescent="0.2">
      <c r="G214" s="4"/>
      <c r="H214" s="4"/>
      <c r="I214" s="4"/>
      <c r="J214" s="4"/>
      <c r="K214" s="4"/>
    </row>
    <row r="215" spans="7:11" customFormat="1" ht="13.15" hidden="1" customHeight="1" x14ac:dyDescent="0.2">
      <c r="G215" s="4"/>
      <c r="H215" s="4"/>
      <c r="I215" s="4"/>
      <c r="J215" s="4"/>
      <c r="K215" s="4"/>
    </row>
    <row r="216" spans="7:11" customFormat="1" ht="13.15" hidden="1" customHeight="1" x14ac:dyDescent="0.2">
      <c r="G216" s="4"/>
      <c r="H216" s="4"/>
      <c r="I216" s="4"/>
      <c r="J216" s="4"/>
      <c r="K216" s="4"/>
    </row>
    <row r="217" spans="7:11" customFormat="1" ht="13.15" hidden="1" customHeight="1" x14ac:dyDescent="0.2">
      <c r="G217" s="4"/>
      <c r="H217" s="4"/>
      <c r="I217" s="4"/>
      <c r="J217" s="4"/>
      <c r="K217" s="4"/>
    </row>
    <row r="218" spans="7:11" customFormat="1" ht="13.15" hidden="1" customHeight="1" x14ac:dyDescent="0.2">
      <c r="G218" s="4"/>
      <c r="H218" s="4"/>
      <c r="I218" s="4"/>
      <c r="J218" s="4"/>
      <c r="K218" s="4"/>
    </row>
    <row r="219" spans="7:11" customFormat="1" ht="13.15" hidden="1" customHeight="1" x14ac:dyDescent="0.2">
      <c r="G219" s="4"/>
      <c r="H219" s="4"/>
      <c r="I219" s="4"/>
      <c r="J219" s="4"/>
      <c r="K219" s="4"/>
    </row>
    <row r="220" spans="7:11" customFormat="1" ht="13.15" hidden="1" customHeight="1" x14ac:dyDescent="0.2">
      <c r="G220" s="4"/>
      <c r="H220" s="4"/>
      <c r="I220" s="4"/>
      <c r="J220" s="4"/>
      <c r="K220" s="4"/>
    </row>
    <row r="221" spans="7:11" customFormat="1" ht="13.15" hidden="1" customHeight="1" x14ac:dyDescent="0.2">
      <c r="G221" s="4"/>
      <c r="H221" s="4"/>
      <c r="I221" s="4"/>
      <c r="J221" s="4"/>
      <c r="K221" s="4"/>
    </row>
    <row r="222" spans="7:11" customFormat="1" ht="13.15" hidden="1" customHeight="1" x14ac:dyDescent="0.2">
      <c r="G222" s="4"/>
      <c r="H222" s="4"/>
      <c r="I222" s="4"/>
      <c r="J222" s="4"/>
      <c r="K222" s="4"/>
    </row>
    <row r="223" spans="7:11" customFormat="1" ht="13.15" hidden="1" customHeight="1" x14ac:dyDescent="0.2">
      <c r="G223" s="4"/>
      <c r="H223" s="4"/>
      <c r="I223" s="4"/>
      <c r="J223" s="4"/>
      <c r="K223" s="4"/>
    </row>
    <row r="224" spans="7:11" customFormat="1" ht="13.15" hidden="1" customHeight="1" x14ac:dyDescent="0.2">
      <c r="G224" s="4"/>
      <c r="H224" s="4"/>
      <c r="I224" s="4"/>
      <c r="J224" s="4"/>
      <c r="K224" s="4"/>
    </row>
    <row r="225" spans="7:14" customFormat="1" ht="13.15" hidden="1" customHeight="1" x14ac:dyDescent="0.2">
      <c r="G225" s="4"/>
      <c r="H225" s="4"/>
      <c r="I225" s="4"/>
      <c r="J225" s="4"/>
      <c r="K225" s="4"/>
    </row>
    <row r="226" spans="7:14" customFormat="1" ht="13.15" hidden="1" customHeight="1" x14ac:dyDescent="0.2">
      <c r="G226" s="4"/>
      <c r="H226" s="4"/>
      <c r="I226" s="4"/>
      <c r="J226" s="4"/>
      <c r="K226" s="4"/>
    </row>
    <row r="227" spans="7:14" ht="13.15" hidden="1" customHeight="1" x14ac:dyDescent="0.25">
      <c r="G227" s="32"/>
      <c r="H227" s="32"/>
      <c r="I227" s="32"/>
      <c r="J227" s="32"/>
      <c r="K227" s="32"/>
    </row>
    <row r="228" spans="7:14" ht="13.15" hidden="1" customHeight="1" x14ac:dyDescent="0.25">
      <c r="G228" s="32"/>
      <c r="H228" s="32"/>
      <c r="I228" s="32"/>
      <c r="J228" s="32"/>
      <c r="K228" s="32"/>
    </row>
    <row r="229" spans="7:14" ht="13.15" hidden="1" customHeight="1" x14ac:dyDescent="0.25">
      <c r="G229" s="32"/>
      <c r="H229" s="32"/>
      <c r="I229" s="32"/>
      <c r="J229" s="32"/>
      <c r="K229" s="32"/>
    </row>
    <row r="230" spans="7:14" ht="13.15" hidden="1" customHeight="1" x14ac:dyDescent="0.25">
      <c r="G230" s="32"/>
      <c r="H230" s="32"/>
      <c r="I230" s="32"/>
      <c r="J230" s="32"/>
      <c r="K230" s="32"/>
    </row>
    <row r="231" spans="7:14" ht="13.15" hidden="1" customHeight="1" x14ac:dyDescent="0.25">
      <c r="G231" s="32"/>
      <c r="H231" s="32"/>
      <c r="I231" s="32"/>
      <c r="J231" s="32"/>
      <c r="K231" s="32"/>
    </row>
    <row r="232" spans="7:14" ht="13.15" hidden="1" customHeight="1" x14ac:dyDescent="0.25">
      <c r="G232" s="32"/>
      <c r="H232" s="32"/>
      <c r="I232" s="32"/>
      <c r="J232" s="32"/>
      <c r="K232" s="32"/>
    </row>
    <row r="233" spans="7:14" ht="13.15" hidden="1" customHeight="1" x14ac:dyDescent="0.25">
      <c r="G233" s="32"/>
      <c r="H233" s="32"/>
      <c r="I233" s="32"/>
      <c r="J233" s="32"/>
      <c r="K233" s="32"/>
      <c r="N233" s="66" t="e">
        <f>200000+6500000+50000+дод6!I40575086</f>
        <v>#NAME?</v>
      </c>
    </row>
    <row r="234" spans="7:14" ht="13.15" hidden="1" customHeight="1" x14ac:dyDescent="0.25">
      <c r="G234" s="32"/>
      <c r="H234" s="32"/>
      <c r="I234" s="32"/>
      <c r="J234" s="32"/>
      <c r="K234" s="32"/>
    </row>
    <row r="235" spans="7:14" ht="13.15" hidden="1" customHeight="1" x14ac:dyDescent="0.25">
      <c r="G235" s="32"/>
      <c r="H235" s="32"/>
      <c r="I235" s="32"/>
      <c r="J235" s="32"/>
      <c r="K235" s="32"/>
    </row>
    <row r="236" spans="7:14" ht="13.15" hidden="1" customHeight="1" x14ac:dyDescent="0.25">
      <c r="G236" s="32"/>
      <c r="H236" s="32"/>
      <c r="I236" s="32"/>
      <c r="J236" s="32"/>
      <c r="K236" s="32"/>
    </row>
    <row r="237" spans="7:14" ht="13.15" hidden="1" customHeight="1" x14ac:dyDescent="0.25">
      <c r="G237" s="32"/>
      <c r="H237" s="32"/>
      <c r="I237" s="32"/>
      <c r="J237" s="32"/>
      <c r="K237" s="32"/>
    </row>
    <row r="238" spans="7:14" ht="13.15" hidden="1" customHeight="1" x14ac:dyDescent="0.25">
      <c r="G238" s="32"/>
      <c r="H238" s="32"/>
      <c r="I238" s="32"/>
      <c r="J238" s="32"/>
      <c r="K238" s="32"/>
    </row>
    <row r="239" spans="7:14" ht="13.15" hidden="1" customHeight="1" x14ac:dyDescent="0.25">
      <c r="G239" s="32"/>
      <c r="H239" s="32"/>
      <c r="I239" s="32"/>
      <c r="J239" s="32"/>
      <c r="K239" s="32"/>
    </row>
    <row r="240" spans="7:14" ht="13.15" hidden="1" customHeight="1" x14ac:dyDescent="0.25">
      <c r="G240" s="32"/>
      <c r="H240" s="32"/>
      <c r="I240" s="32"/>
      <c r="J240" s="32"/>
      <c r="K240" s="32"/>
    </row>
    <row r="241" spans="7:11" ht="13.15" hidden="1" customHeight="1" x14ac:dyDescent="0.25">
      <c r="G241" s="32"/>
      <c r="H241" s="32"/>
      <c r="I241" s="32"/>
      <c r="J241" s="32"/>
      <c r="K241" s="32"/>
    </row>
    <row r="242" spans="7:11" ht="13.15" hidden="1" customHeight="1" x14ac:dyDescent="0.25">
      <c r="G242" s="32"/>
      <c r="H242" s="32"/>
      <c r="I242" s="32"/>
      <c r="J242" s="32"/>
      <c r="K242" s="32"/>
    </row>
    <row r="243" spans="7:11" ht="13.15" hidden="1" customHeight="1" x14ac:dyDescent="0.25">
      <c r="G243" s="32"/>
      <c r="H243" s="32"/>
      <c r="I243" s="32"/>
      <c r="J243" s="32"/>
      <c r="K243" s="32"/>
    </row>
    <row r="244" spans="7:11" ht="13.15" hidden="1" customHeight="1" x14ac:dyDescent="0.25">
      <c r="G244" s="32"/>
      <c r="H244" s="32"/>
      <c r="I244" s="32"/>
      <c r="J244" s="32"/>
      <c r="K244" s="32"/>
    </row>
    <row r="245" spans="7:11" ht="13.15" hidden="1" customHeight="1" x14ac:dyDescent="0.25">
      <c r="G245" s="32"/>
      <c r="H245" s="32"/>
      <c r="I245" s="32"/>
      <c r="J245" s="32"/>
      <c r="K245" s="32"/>
    </row>
    <row r="246" spans="7:11" ht="13.15" hidden="1" customHeight="1" x14ac:dyDescent="0.25">
      <c r="G246" s="32"/>
      <c r="H246" s="32"/>
      <c r="I246" s="32"/>
      <c r="J246" s="32"/>
      <c r="K246" s="32"/>
    </row>
    <row r="247" spans="7:11" ht="13.15" hidden="1" customHeight="1" x14ac:dyDescent="0.25">
      <c r="G247" s="32"/>
      <c r="H247" s="32"/>
      <c r="I247" s="32"/>
      <c r="J247" s="32"/>
      <c r="K247" s="32"/>
    </row>
    <row r="248" spans="7:11" ht="13.15" hidden="1" customHeight="1" x14ac:dyDescent="0.25">
      <c r="G248" s="32"/>
      <c r="H248" s="32"/>
      <c r="I248" s="32"/>
      <c r="J248" s="32"/>
      <c r="K248" s="32"/>
    </row>
    <row r="249" spans="7:11" ht="13.15" hidden="1" customHeight="1" x14ac:dyDescent="0.25">
      <c r="G249" s="32"/>
      <c r="H249" s="32"/>
      <c r="I249" s="32"/>
      <c r="J249" s="32"/>
      <c r="K249" s="32"/>
    </row>
    <row r="250" spans="7:11" ht="13.15" hidden="1" customHeight="1" x14ac:dyDescent="0.25">
      <c r="G250" s="32"/>
      <c r="H250" s="32"/>
      <c r="I250" s="32"/>
      <c r="J250" s="32"/>
      <c r="K250" s="32"/>
    </row>
    <row r="251" spans="7:11" ht="13.15" hidden="1" customHeight="1" x14ac:dyDescent="0.25">
      <c r="G251" s="32"/>
      <c r="H251" s="32"/>
      <c r="I251" s="32"/>
      <c r="J251" s="32"/>
      <c r="K251" s="32"/>
    </row>
    <row r="252" spans="7:11" ht="13.15" hidden="1" customHeight="1" x14ac:dyDescent="0.25">
      <c r="G252" s="32"/>
      <c r="H252" s="32"/>
      <c r="I252" s="32"/>
      <c r="J252" s="32"/>
      <c r="K252" s="32"/>
    </row>
    <row r="253" spans="7:11" ht="13.15" hidden="1" customHeight="1" x14ac:dyDescent="0.25">
      <c r="G253" s="32"/>
      <c r="H253" s="32"/>
      <c r="I253" s="32"/>
      <c r="J253" s="32"/>
      <c r="K253" s="32"/>
    </row>
    <row r="254" spans="7:11" ht="13.15" hidden="1" customHeight="1" x14ac:dyDescent="0.25">
      <c r="I254" s="544" t="e">
        <f>I118-#REF!</f>
        <v>#REF!</v>
      </c>
      <c r="J254" s="66"/>
    </row>
    <row r="255" spans="7:11" ht="13.15" hidden="1" customHeight="1" x14ac:dyDescent="0.25">
      <c r="J255" s="66"/>
    </row>
    <row r="256" spans="7:11" ht="13.15" hidden="1" customHeight="1" x14ac:dyDescent="0.25">
      <c r="J256" s="66"/>
    </row>
    <row r="257" spans="9:11" ht="13.15" customHeight="1" x14ac:dyDescent="0.25">
      <c r="J257" s="66"/>
    </row>
    <row r="258" spans="9:11" ht="97.15" hidden="1" customHeight="1" x14ac:dyDescent="0.25"/>
    <row r="259" spans="9:11" hidden="1" x14ac:dyDescent="0.25"/>
    <row r="260" spans="9:11" hidden="1" x14ac:dyDescent="0.25">
      <c r="K260" s="544"/>
    </row>
    <row r="261" spans="9:11" hidden="1" x14ac:dyDescent="0.25"/>
    <row r="262" spans="9:11" hidden="1" x14ac:dyDescent="0.25">
      <c r="I262" s="538"/>
    </row>
    <row r="263" spans="9:11" hidden="1" x14ac:dyDescent="0.25"/>
    <row r="264" spans="9:11" hidden="1" x14ac:dyDescent="0.25"/>
    <row r="265" spans="9:11" hidden="1" x14ac:dyDescent="0.25"/>
    <row r="266" spans="9:11" hidden="1" x14ac:dyDescent="0.25"/>
    <row r="267" spans="9:11" hidden="1" x14ac:dyDescent="0.25">
      <c r="I267" s="1582">
        <v>125594582.98000002</v>
      </c>
    </row>
    <row r="268" spans="9:11" hidden="1" x14ac:dyDescent="0.25">
      <c r="I268" s="66" t="b">
        <f>I118=I267</f>
        <v>1</v>
      </c>
    </row>
    <row r="269" spans="9:11" hidden="1" x14ac:dyDescent="0.25"/>
    <row r="270" spans="9:11" hidden="1" x14ac:dyDescent="0.25"/>
    <row r="271" spans="9:11" hidden="1" x14ac:dyDescent="0.25"/>
    <row r="272" spans="9:11"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sheetData>
  <autoFilter ref="A1:L256">
    <filterColumn colId="11">
      <customFilters and="1">
        <customFilter operator="greaterThan" val="0"/>
      </customFilters>
    </filterColumn>
  </autoFilter>
  <mergeCells count="54">
    <mergeCell ref="A100:A101"/>
    <mergeCell ref="B100:B101"/>
    <mergeCell ref="C100:C101"/>
    <mergeCell ref="D100:D101"/>
    <mergeCell ref="A69:A71"/>
    <mergeCell ref="A5:J5"/>
    <mergeCell ref="A9:A10"/>
    <mergeCell ref="G9:G10"/>
    <mergeCell ref="D9:D10"/>
    <mergeCell ref="J9:J10"/>
    <mergeCell ref="A96:A99"/>
    <mergeCell ref="B96:B99"/>
    <mergeCell ref="C96:C99"/>
    <mergeCell ref="D96:D99"/>
    <mergeCell ref="D72:D95"/>
    <mergeCell ref="B22:B24"/>
    <mergeCell ref="D22:D24"/>
    <mergeCell ref="D58:D68"/>
    <mergeCell ref="D34:D39"/>
    <mergeCell ref="D69:D71"/>
    <mergeCell ref="A6:B6"/>
    <mergeCell ref="C22:C24"/>
    <mergeCell ref="C53:C57"/>
    <mergeCell ref="D53:D57"/>
    <mergeCell ref="B69:B71"/>
    <mergeCell ref="D47:D50"/>
    <mergeCell ref="A7:B7"/>
    <mergeCell ref="C9:C10"/>
    <mergeCell ref="B34:B39"/>
    <mergeCell ref="C34:C39"/>
    <mergeCell ref="B58:B68"/>
    <mergeCell ref="C58:C68"/>
    <mergeCell ref="B53:B57"/>
    <mergeCell ref="A34:A39"/>
    <mergeCell ref="A51:A52"/>
    <mergeCell ref="B51:B52"/>
    <mergeCell ref="C51:C52"/>
    <mergeCell ref="I9:I10"/>
    <mergeCell ref="H9:H10"/>
    <mergeCell ref="F9:F10"/>
    <mergeCell ref="B47:B50"/>
    <mergeCell ref="B9:B10"/>
    <mergeCell ref="E9:E10"/>
    <mergeCell ref="C47:C50"/>
    <mergeCell ref="D51:D52"/>
    <mergeCell ref="C69:C71"/>
    <mergeCell ref="A17:A18"/>
    <mergeCell ref="B17:B18"/>
    <mergeCell ref="C17:C18"/>
    <mergeCell ref="D17:D18"/>
    <mergeCell ref="A58:A68"/>
    <mergeCell ref="A22:A24"/>
    <mergeCell ref="A47:A50"/>
    <mergeCell ref="A53:A57"/>
  </mergeCells>
  <phoneticPr fontId="0" type="noConversion"/>
  <printOptions horizontalCentered="1"/>
  <pageMargins left="0.2" right="0.2" top="0.17" bottom="0.15748031496062992" header="0.17" footer="0.15748031496062992"/>
  <pageSetup paperSize="9" scale="4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filterMode="1">
    <tabColor rgb="FFC00000"/>
  </sheetPr>
  <dimension ref="A1:IU369"/>
  <sheetViews>
    <sheetView showZeros="0" view="pageBreakPreview" zoomScale="60" zoomScaleNormal="75" workbookViewId="0">
      <pane xSplit="5" ySplit="10" topLeftCell="H107" activePane="bottomRight" state="frozen"/>
      <selection pane="topRight" activeCell="D1" sqref="D1"/>
      <selection pane="bottomLeft" activeCell="A10" sqref="A10"/>
      <selection pane="bottomRight" activeCell="A349" sqref="A349:IV369"/>
    </sheetView>
  </sheetViews>
  <sheetFormatPr defaultColWidth="8.7109375" defaultRowHeight="12.75" x14ac:dyDescent="0.2"/>
  <cols>
    <col min="1" max="1" width="15.28515625" style="301" customWidth="1"/>
    <col min="2" max="2" width="15" style="301" customWidth="1"/>
    <col min="3" max="3" width="16.7109375" style="301" customWidth="1"/>
    <col min="4" max="4" width="42.28515625" style="301" customWidth="1"/>
    <col min="5" max="5" width="51.7109375" style="301" customWidth="1"/>
    <col min="6" max="6" width="18.5703125" style="301" customWidth="1"/>
    <col min="7" max="7" width="22.140625" style="301" customWidth="1"/>
    <col min="8" max="8" width="20.28515625" style="301" customWidth="1"/>
    <col min="9" max="9" width="22.42578125" style="301" customWidth="1"/>
    <col min="10" max="10" width="17.85546875" style="301" customWidth="1"/>
    <col min="11" max="11" width="19" style="606" hidden="1" customWidth="1"/>
    <col min="12" max="12" width="13.5703125" style="301" hidden="1" customWidth="1"/>
    <col min="13" max="13" width="16.7109375" style="301" hidden="1" customWidth="1"/>
    <col min="14" max="16" width="17" style="301" hidden="1" customWidth="1"/>
    <col min="17" max="17" width="0" style="301" hidden="1" customWidth="1"/>
    <col min="18" max="18" width="13" style="301" hidden="1" customWidth="1"/>
    <col min="19" max="16384" width="8.7109375" style="301"/>
  </cols>
  <sheetData>
    <row r="1" spans="1:18" ht="16.5" x14ac:dyDescent="0.25">
      <c r="A1" s="26"/>
      <c r="B1" s="26"/>
      <c r="C1" s="26"/>
      <c r="D1" s="26"/>
      <c r="E1" s="26"/>
      <c r="F1" s="26"/>
      <c r="G1" s="26"/>
      <c r="H1" s="26"/>
      <c r="I1" s="79" t="s">
        <v>238</v>
      </c>
      <c r="J1" s="79"/>
      <c r="K1" s="606">
        <v>1</v>
      </c>
    </row>
    <row r="2" spans="1:18" ht="16.5" customHeight="1" x14ac:dyDescent="0.25">
      <c r="A2" s="26"/>
      <c r="B2" s="26"/>
      <c r="C2" s="26"/>
      <c r="D2" s="26"/>
      <c r="E2" s="26"/>
      <c r="F2" s="26"/>
      <c r="G2" s="26"/>
      <c r="H2" s="26"/>
      <c r="I2" s="79" t="s">
        <v>274</v>
      </c>
      <c r="J2" s="79"/>
      <c r="K2" s="606">
        <v>1</v>
      </c>
    </row>
    <row r="3" spans="1:18" ht="16.5" customHeight="1" x14ac:dyDescent="0.3">
      <c r="A3" s="26"/>
      <c r="B3" s="26"/>
      <c r="C3" s="26"/>
      <c r="D3" s="26"/>
      <c r="E3" s="26"/>
      <c r="F3" s="26"/>
      <c r="G3" s="26"/>
      <c r="H3" s="26"/>
      <c r="I3" s="502" t="s">
        <v>1417</v>
      </c>
      <c r="J3" s="79"/>
      <c r="K3" s="606">
        <v>1</v>
      </c>
    </row>
    <row r="4" spans="1:18" ht="6" customHeight="1" x14ac:dyDescent="0.3">
      <c r="A4" s="26"/>
      <c r="B4" s="26"/>
      <c r="C4" s="26"/>
      <c r="D4" s="26"/>
      <c r="E4" s="26"/>
      <c r="F4" s="26"/>
      <c r="G4" s="26"/>
      <c r="H4" s="1913"/>
      <c r="I4" s="1913"/>
      <c r="J4" s="319"/>
      <c r="K4" s="606">
        <v>1</v>
      </c>
    </row>
    <row r="5" spans="1:18" ht="17.45" customHeight="1" x14ac:dyDescent="0.3">
      <c r="A5" s="1915" t="s">
        <v>1055</v>
      </c>
      <c r="B5" s="1915"/>
      <c r="C5" s="1915"/>
      <c r="D5" s="1915"/>
      <c r="E5" s="1915"/>
      <c r="F5" s="1915"/>
      <c r="G5" s="1915"/>
      <c r="H5" s="1915"/>
      <c r="I5" s="1915"/>
      <c r="J5" s="1915"/>
      <c r="K5" s="606">
        <v>1</v>
      </c>
    </row>
    <row r="6" spans="1:18" ht="18.75" x14ac:dyDescent="0.3">
      <c r="A6" s="1688" t="s">
        <v>855</v>
      </c>
      <c r="B6" s="1688"/>
      <c r="C6" s="521"/>
      <c r="D6" s="521"/>
      <c r="E6" s="521"/>
      <c r="F6" s="521"/>
      <c r="G6" s="521"/>
      <c r="H6" s="521"/>
      <c r="I6" s="521"/>
      <c r="J6" s="521"/>
      <c r="K6" s="606">
        <v>1</v>
      </c>
    </row>
    <row r="7" spans="1:18" ht="18.75" x14ac:dyDescent="0.3">
      <c r="A7" s="1689" t="s">
        <v>856</v>
      </c>
      <c r="B7" s="1689"/>
      <c r="C7" s="521"/>
      <c r="D7" s="521"/>
      <c r="E7" s="521"/>
      <c r="F7" s="521"/>
      <c r="G7" s="521"/>
      <c r="H7" s="521"/>
      <c r="I7" s="521"/>
      <c r="J7" s="521"/>
      <c r="K7" s="606">
        <v>1</v>
      </c>
    </row>
    <row r="8" spans="1:18" ht="16.5" customHeight="1" x14ac:dyDescent="0.25">
      <c r="A8" s="26"/>
      <c r="B8" s="26"/>
      <c r="C8" s="26"/>
      <c r="D8" s="26"/>
      <c r="E8" s="26"/>
      <c r="F8" s="26"/>
      <c r="G8" s="26"/>
      <c r="H8" s="26"/>
      <c r="J8" s="96" t="s">
        <v>737</v>
      </c>
      <c r="K8" s="606">
        <v>1</v>
      </c>
    </row>
    <row r="9" spans="1:18" ht="73.150000000000006" customHeight="1" x14ac:dyDescent="0.2">
      <c r="A9" s="1918" t="s">
        <v>900</v>
      </c>
      <c r="B9" s="1918" t="s">
        <v>901</v>
      </c>
      <c r="C9" s="1918" t="s">
        <v>750</v>
      </c>
      <c r="D9" s="1723" t="s">
        <v>902</v>
      </c>
      <c r="E9" s="1914" t="s">
        <v>754</v>
      </c>
      <c r="F9" s="1916" t="s">
        <v>755</v>
      </c>
      <c r="G9" s="1914" t="s">
        <v>739</v>
      </c>
      <c r="H9" s="1914" t="s">
        <v>53</v>
      </c>
      <c r="I9" s="1914" t="s">
        <v>54</v>
      </c>
      <c r="J9" s="1914"/>
      <c r="K9" s="606">
        <v>1</v>
      </c>
    </row>
    <row r="10" spans="1:18" ht="69" customHeight="1" x14ac:dyDescent="0.2">
      <c r="A10" s="1919"/>
      <c r="B10" s="1919"/>
      <c r="C10" s="1919"/>
      <c r="D10" s="1725"/>
      <c r="E10" s="1914"/>
      <c r="F10" s="1917"/>
      <c r="G10" s="1914"/>
      <c r="H10" s="1914"/>
      <c r="I10" s="316" t="s">
        <v>744</v>
      </c>
      <c r="J10" s="316" t="s">
        <v>751</v>
      </c>
      <c r="K10" s="607">
        <v>1</v>
      </c>
    </row>
    <row r="11" spans="1:18" s="364" customFormat="1" ht="15.75" x14ac:dyDescent="0.2">
      <c r="A11" s="361" t="s">
        <v>285</v>
      </c>
      <c r="B11" s="361" t="s">
        <v>286</v>
      </c>
      <c r="C11" s="361" t="s">
        <v>287</v>
      </c>
      <c r="D11" s="362">
        <v>4</v>
      </c>
      <c r="E11" s="316">
        <v>5</v>
      </c>
      <c r="F11" s="363">
        <v>6</v>
      </c>
      <c r="G11" s="316">
        <v>7</v>
      </c>
      <c r="H11" s="316">
        <v>8</v>
      </c>
      <c r="I11" s="316">
        <v>9</v>
      </c>
      <c r="J11" s="316">
        <v>10</v>
      </c>
      <c r="K11" s="607">
        <v>1</v>
      </c>
      <c r="R11" s="516">
        <f t="shared" ref="R11:R16" si="0">I12+H12-G12</f>
        <v>0</v>
      </c>
    </row>
    <row r="12" spans="1:18" ht="18.75" x14ac:dyDescent="0.2">
      <c r="A12" s="168" t="s">
        <v>70</v>
      </c>
      <c r="B12" s="168"/>
      <c r="C12" s="168"/>
      <c r="D12" s="169" t="s">
        <v>47</v>
      </c>
      <c r="E12" s="203"/>
      <c r="F12" s="341"/>
      <c r="G12" s="1028">
        <f>G13</f>
        <v>31959236</v>
      </c>
      <c r="H12" s="1028">
        <f>H13</f>
        <v>20538865</v>
      </c>
      <c r="I12" s="1028">
        <f>I13</f>
        <v>11420371</v>
      </c>
      <c r="J12" s="1028">
        <f>J13</f>
        <v>10611971</v>
      </c>
      <c r="K12" s="606">
        <f>SUM(G12:J12)</f>
        <v>74530443</v>
      </c>
      <c r="L12" s="300">
        <f>G12-H12-I12</f>
        <v>0</v>
      </c>
      <c r="M12" s="300">
        <f>G12-I12-H12</f>
        <v>0</v>
      </c>
      <c r="R12" s="516">
        <f t="shared" si="0"/>
        <v>0</v>
      </c>
    </row>
    <row r="13" spans="1:18" s="450" customFormat="1" ht="18.75" x14ac:dyDescent="0.2">
      <c r="A13" s="168" t="s">
        <v>71</v>
      </c>
      <c r="B13" s="168"/>
      <c r="C13" s="168"/>
      <c r="D13" s="169" t="s">
        <v>47</v>
      </c>
      <c r="E13" s="203"/>
      <c r="F13" s="341"/>
      <c r="G13" s="1028">
        <f>SUM(G14:G27)</f>
        <v>31959236</v>
      </c>
      <c r="H13" s="1028">
        <f>SUM(H14:H27)</f>
        <v>20538865</v>
      </c>
      <c r="I13" s="1028">
        <f>SUM(I14:I27)</f>
        <v>11420371</v>
      </c>
      <c r="J13" s="1028">
        <f>SUM(J14:J27)</f>
        <v>10611971</v>
      </c>
      <c r="K13" s="606">
        <f t="shared" ref="K13:K82" si="1">SUM(G13:J13)</f>
        <v>74530443</v>
      </c>
      <c r="L13" s="300">
        <f>G13-H13-I13</f>
        <v>0</v>
      </c>
      <c r="M13" s="300">
        <f>G13-I13-H13</f>
        <v>0</v>
      </c>
      <c r="R13" s="516">
        <f t="shared" si="0"/>
        <v>0</v>
      </c>
    </row>
    <row r="14" spans="1:18" ht="78.75" x14ac:dyDescent="0.2">
      <c r="A14" s="166" t="s">
        <v>288</v>
      </c>
      <c r="B14" s="166" t="s">
        <v>289</v>
      </c>
      <c r="C14" s="166" t="s">
        <v>8</v>
      </c>
      <c r="D14" s="1152" t="s">
        <v>176</v>
      </c>
      <c r="E14" s="1153" t="s">
        <v>1406</v>
      </c>
      <c r="F14" s="553" t="s">
        <v>1369</v>
      </c>
      <c r="G14" s="1029">
        <f>+H14+I14</f>
        <v>2385500</v>
      </c>
      <c r="H14" s="1029">
        <v>2385500</v>
      </c>
      <c r="I14" s="1030"/>
      <c r="J14" s="1030"/>
      <c r="K14" s="606">
        <f t="shared" si="1"/>
        <v>4771000</v>
      </c>
      <c r="L14" s="300">
        <f>G14-H14-I14</f>
        <v>0</v>
      </c>
      <c r="M14" s="300">
        <f>G14-I14-H14</f>
        <v>0</v>
      </c>
      <c r="R14" s="516">
        <f t="shared" si="0"/>
        <v>0</v>
      </c>
    </row>
    <row r="15" spans="1:18" ht="45" hidden="1" x14ac:dyDescent="0.2">
      <c r="A15" s="44" t="s">
        <v>301</v>
      </c>
      <c r="B15" s="44" t="s">
        <v>11</v>
      </c>
      <c r="C15" s="44" t="s">
        <v>14</v>
      </c>
      <c r="D15" s="34" t="s">
        <v>302</v>
      </c>
      <c r="E15" s="545" t="s">
        <v>912</v>
      </c>
      <c r="F15" s="546" t="s">
        <v>913</v>
      </c>
      <c r="G15" s="443">
        <f>+H15+I15</f>
        <v>0</v>
      </c>
      <c r="H15" s="443"/>
      <c r="I15" s="443"/>
      <c r="J15" s="443"/>
      <c r="K15" s="606">
        <f t="shared" si="1"/>
        <v>0</v>
      </c>
      <c r="L15" s="300">
        <f>G15-H15-I15</f>
        <v>0</v>
      </c>
      <c r="M15" s="300">
        <f>G15-I15-H15</f>
        <v>0</v>
      </c>
      <c r="R15" s="516">
        <f t="shared" si="0"/>
        <v>0</v>
      </c>
    </row>
    <row r="16" spans="1:18" ht="58.15" customHeight="1" x14ac:dyDescent="0.2">
      <c r="A16" s="44" t="s">
        <v>291</v>
      </c>
      <c r="B16" s="44">
        <v>3242</v>
      </c>
      <c r="C16" s="44">
        <v>1090</v>
      </c>
      <c r="D16" s="197" t="s">
        <v>290</v>
      </c>
      <c r="E16" s="1153" t="s">
        <v>1406</v>
      </c>
      <c r="F16" s="553" t="s">
        <v>1369</v>
      </c>
      <c r="G16" s="1029">
        <f>+H16+I16</f>
        <v>11977400</v>
      </c>
      <c r="H16" s="1029">
        <v>11977400</v>
      </c>
      <c r="I16" s="1029"/>
      <c r="J16" s="1029"/>
      <c r="K16" s="606">
        <f t="shared" si="1"/>
        <v>23954800</v>
      </c>
      <c r="L16" s="300">
        <f>G16-H16-I16</f>
        <v>0</v>
      </c>
      <c r="M16" s="300">
        <f>G16-I16-H16</f>
        <v>0</v>
      </c>
      <c r="N16" s="300"/>
      <c r="O16" s="300"/>
      <c r="R16" s="516">
        <f t="shared" si="0"/>
        <v>0</v>
      </c>
    </row>
    <row r="17" spans="1:18" s="24" customFormat="1" ht="63" hidden="1" x14ac:dyDescent="0.2">
      <c r="A17" s="44" t="s">
        <v>570</v>
      </c>
      <c r="B17" s="44" t="s">
        <v>571</v>
      </c>
      <c r="C17" s="44" t="s">
        <v>572</v>
      </c>
      <c r="D17" s="42" t="s">
        <v>573</v>
      </c>
      <c r="E17" s="41"/>
      <c r="F17" s="342"/>
      <c r="G17" s="443">
        <f>H17+I17</f>
        <v>0</v>
      </c>
      <c r="H17" s="443"/>
      <c r="I17" s="443"/>
      <c r="J17" s="443"/>
      <c r="K17" s="606">
        <f t="shared" si="1"/>
        <v>0</v>
      </c>
    </row>
    <row r="18" spans="1:18" s="24" customFormat="1" ht="45" hidden="1" x14ac:dyDescent="0.2">
      <c r="A18" s="44" t="s">
        <v>293</v>
      </c>
      <c r="B18" s="44" t="s">
        <v>292</v>
      </c>
      <c r="C18" s="44" t="s">
        <v>224</v>
      </c>
      <c r="D18" s="42" t="s">
        <v>294</v>
      </c>
      <c r="E18" s="41" t="s">
        <v>926</v>
      </c>
      <c r="F18" s="546" t="s">
        <v>936</v>
      </c>
      <c r="G18" s="443">
        <f>H18+I18</f>
        <v>0</v>
      </c>
      <c r="H18" s="443"/>
      <c r="I18" s="443"/>
      <c r="J18" s="443"/>
      <c r="K18" s="606">
        <f t="shared" si="1"/>
        <v>0</v>
      </c>
    </row>
    <row r="19" spans="1:18" s="24" customFormat="1" ht="45" hidden="1" x14ac:dyDescent="0.2">
      <c r="A19" s="44" t="s">
        <v>718</v>
      </c>
      <c r="B19" s="44" t="s">
        <v>472</v>
      </c>
      <c r="C19" s="44" t="s">
        <v>224</v>
      </c>
      <c r="D19" s="42" t="s">
        <v>122</v>
      </c>
      <c r="E19" s="41" t="s">
        <v>926</v>
      </c>
      <c r="F19" s="546" t="s">
        <v>936</v>
      </c>
      <c r="G19" s="443">
        <f>H19+I19</f>
        <v>0</v>
      </c>
      <c r="H19" s="443"/>
      <c r="I19" s="443"/>
      <c r="J19" s="443"/>
      <c r="K19" s="606">
        <f t="shared" si="1"/>
        <v>0</v>
      </c>
    </row>
    <row r="20" spans="1:18" s="24" customFormat="1" ht="47.25" hidden="1" x14ac:dyDescent="0.2">
      <c r="A20" s="44" t="s">
        <v>718</v>
      </c>
      <c r="B20" s="44" t="s">
        <v>472</v>
      </c>
      <c r="C20" s="44" t="s">
        <v>224</v>
      </c>
      <c r="D20" s="42" t="s">
        <v>122</v>
      </c>
      <c r="E20" s="41" t="s">
        <v>939</v>
      </c>
      <c r="F20" s="546" t="s">
        <v>940</v>
      </c>
      <c r="G20" s="443">
        <f>+H20+I20</f>
        <v>0</v>
      </c>
      <c r="H20" s="443"/>
      <c r="I20" s="443"/>
      <c r="J20" s="443"/>
      <c r="K20" s="606">
        <f t="shared" si="1"/>
        <v>0</v>
      </c>
      <c r="R20" s="516">
        <f>I21+H21-G21</f>
        <v>0</v>
      </c>
    </row>
    <row r="21" spans="1:18" s="24" customFormat="1" ht="47.25" hidden="1" x14ac:dyDescent="0.2">
      <c r="A21" s="549" t="s">
        <v>1011</v>
      </c>
      <c r="B21" s="549" t="s">
        <v>456</v>
      </c>
      <c r="C21" s="549" t="s">
        <v>29</v>
      </c>
      <c r="D21" s="550" t="s">
        <v>76</v>
      </c>
      <c r="E21" s="197" t="s">
        <v>773</v>
      </c>
      <c r="F21" s="42" t="s">
        <v>774</v>
      </c>
      <c r="G21" s="443">
        <f>H21+I21</f>
        <v>0</v>
      </c>
      <c r="H21" s="277"/>
      <c r="I21" s="443"/>
      <c r="J21" s="443"/>
      <c r="K21" s="606">
        <f t="shared" si="1"/>
        <v>0</v>
      </c>
      <c r="N21" s="24" t="s">
        <v>1</v>
      </c>
      <c r="O21" s="24" t="s">
        <v>2</v>
      </c>
      <c r="P21" s="24" t="s">
        <v>1488</v>
      </c>
    </row>
    <row r="22" spans="1:18" ht="60" hidden="1" x14ac:dyDescent="0.25">
      <c r="A22" s="1902" t="s">
        <v>303</v>
      </c>
      <c r="B22" s="1902" t="s">
        <v>304</v>
      </c>
      <c r="C22" s="1902" t="s">
        <v>11</v>
      </c>
      <c r="D22" s="1905" t="s">
        <v>305</v>
      </c>
      <c r="E22" s="547" t="s">
        <v>768</v>
      </c>
      <c r="F22" s="546" t="s">
        <v>769</v>
      </c>
      <c r="G22" s="443">
        <f t="shared" ref="G22:G27" si="2">+H22+I22</f>
        <v>0</v>
      </c>
      <c r="H22" s="276"/>
      <c r="I22" s="443"/>
      <c r="J22" s="443"/>
      <c r="K22" s="606">
        <f t="shared" si="1"/>
        <v>0</v>
      </c>
      <c r="L22" s="300">
        <f>G22-H22-I22</f>
        <v>0</v>
      </c>
      <c r="M22" s="300" t="s">
        <v>1491</v>
      </c>
      <c r="N22" s="513" t="b">
        <f>N23=N24</f>
        <v>1</v>
      </c>
      <c r="O22" s="513" t="b">
        <f>O23=O24</f>
        <v>1</v>
      </c>
      <c r="P22" s="513" t="b">
        <f>P23=P24</f>
        <v>1</v>
      </c>
      <c r="R22" s="516">
        <f t="shared" ref="R22:R29" si="3">I23+H23-G23</f>
        <v>0</v>
      </c>
    </row>
    <row r="23" spans="1:18" ht="45" x14ac:dyDescent="0.25">
      <c r="A23" s="1903"/>
      <c r="B23" s="1903"/>
      <c r="C23" s="1903"/>
      <c r="D23" s="1908"/>
      <c r="E23" s="793" t="s">
        <v>1177</v>
      </c>
      <c r="F23" s="553" t="s">
        <v>1368</v>
      </c>
      <c r="G23" s="1029">
        <f t="shared" si="2"/>
        <v>808400</v>
      </c>
      <c r="H23" s="1030"/>
      <c r="I23" s="1029">
        <v>808400</v>
      </c>
      <c r="J23" s="1029"/>
      <c r="K23" s="606">
        <f t="shared" si="1"/>
        <v>1616800</v>
      </c>
      <c r="L23" s="300">
        <f>G23-H23-I23</f>
        <v>0</v>
      </c>
      <c r="M23" s="300" t="s">
        <v>1489</v>
      </c>
      <c r="N23" s="514">
        <f>дод3!E28</f>
        <v>5294772</v>
      </c>
      <c r="O23" s="514">
        <f>дод3!J28</f>
        <v>6332555</v>
      </c>
      <c r="P23" s="514">
        <f>дод3!O28</f>
        <v>5524155</v>
      </c>
      <c r="R23" s="516">
        <f t="shared" si="3"/>
        <v>0</v>
      </c>
    </row>
    <row r="24" spans="1:18" ht="52.15" customHeight="1" x14ac:dyDescent="0.25">
      <c r="A24" s="1904"/>
      <c r="B24" s="1904"/>
      <c r="C24" s="1904"/>
      <c r="D24" s="1909"/>
      <c r="E24" s="1153" t="s">
        <v>1406</v>
      </c>
      <c r="F24" s="553" t="s">
        <v>1369</v>
      </c>
      <c r="G24" s="1029">
        <f t="shared" si="2"/>
        <v>10818927</v>
      </c>
      <c r="H24" s="293">
        <f>867162+862753-32000+448653+3598958+379999-830753</f>
        <v>5294772</v>
      </c>
      <c r="I24" s="293">
        <f>337589+230850+4955716</f>
        <v>5524155</v>
      </c>
      <c r="J24" s="293">
        <f>337589+230850+4955716</f>
        <v>5524155</v>
      </c>
      <c r="K24" s="606">
        <f t="shared" si="1"/>
        <v>27162009</v>
      </c>
      <c r="L24" s="300">
        <f>G24-H24-I24</f>
        <v>0</v>
      </c>
      <c r="M24" s="300" t="s">
        <v>1490</v>
      </c>
      <c r="N24" s="963">
        <f>H23+H22+H24</f>
        <v>5294772</v>
      </c>
      <c r="O24" s="963">
        <f>I23+I22+I24</f>
        <v>6332555</v>
      </c>
      <c r="P24" s="963">
        <f>J23+J22+J24</f>
        <v>5524155</v>
      </c>
      <c r="R24" s="516">
        <f>I27+H27-G27</f>
        <v>0</v>
      </c>
    </row>
    <row r="25" spans="1:18" ht="52.15" customHeight="1" x14ac:dyDescent="0.25">
      <c r="A25" s="44" t="s">
        <v>293</v>
      </c>
      <c r="B25" s="44" t="s">
        <v>292</v>
      </c>
      <c r="C25" s="44" t="s">
        <v>224</v>
      </c>
      <c r="D25" s="42" t="s">
        <v>925</v>
      </c>
      <c r="E25" s="1153" t="s">
        <v>2316</v>
      </c>
      <c r="F25" s="553" t="s">
        <v>2317</v>
      </c>
      <c r="G25" s="1029">
        <f t="shared" si="2"/>
        <v>4530728</v>
      </c>
      <c r="H25" s="293"/>
      <c r="I25" s="293">
        <v>4530728</v>
      </c>
      <c r="J25" s="293">
        <v>4530728</v>
      </c>
      <c r="K25" s="606">
        <f t="shared" si="1"/>
        <v>13592184</v>
      </c>
      <c r="L25" s="300"/>
      <c r="M25" s="300"/>
      <c r="N25" s="963"/>
      <c r="O25" s="963"/>
      <c r="P25" s="963"/>
      <c r="R25" s="516"/>
    </row>
    <row r="26" spans="1:18" ht="52.15" customHeight="1" x14ac:dyDescent="0.25">
      <c r="A26" s="44" t="s">
        <v>718</v>
      </c>
      <c r="B26" s="44" t="s">
        <v>472</v>
      </c>
      <c r="C26" s="44" t="s">
        <v>224</v>
      </c>
      <c r="D26" s="42" t="s">
        <v>122</v>
      </c>
      <c r="E26" s="1153" t="s">
        <v>2316</v>
      </c>
      <c r="F26" s="553" t="s">
        <v>2317</v>
      </c>
      <c r="G26" s="1029">
        <f t="shared" si="2"/>
        <v>400000</v>
      </c>
      <c r="H26" s="293">
        <v>400000</v>
      </c>
      <c r="I26" s="293"/>
      <c r="J26" s="293"/>
      <c r="K26" s="606">
        <f t="shared" si="1"/>
        <v>800000</v>
      </c>
      <c r="L26" s="300"/>
      <c r="M26" s="300"/>
      <c r="N26" s="963"/>
      <c r="O26" s="963"/>
      <c r="P26" s="963"/>
      <c r="R26" s="516"/>
    </row>
    <row r="27" spans="1:18" ht="63" x14ac:dyDescent="0.25">
      <c r="A27" s="44" t="s">
        <v>298</v>
      </c>
      <c r="B27" s="44" t="s">
        <v>299</v>
      </c>
      <c r="C27" s="44" t="s">
        <v>11</v>
      </c>
      <c r="D27" s="34" t="s">
        <v>300</v>
      </c>
      <c r="E27" s="259" t="s">
        <v>1813</v>
      </c>
      <c r="F27" s="344" t="s">
        <v>1369</v>
      </c>
      <c r="G27" s="293">
        <f t="shared" si="2"/>
        <v>1038281</v>
      </c>
      <c r="H27" s="293">
        <f>6749+42450+431994</f>
        <v>481193</v>
      </c>
      <c r="I27" s="293">
        <v>557088</v>
      </c>
      <c r="J27" s="293">
        <v>557088</v>
      </c>
      <c r="K27" s="606">
        <f t="shared" si="1"/>
        <v>2633650</v>
      </c>
      <c r="M27" s="300" t="s">
        <v>1491</v>
      </c>
      <c r="N27" s="513" t="b">
        <f>H27=дод3!E29</f>
        <v>1</v>
      </c>
      <c r="O27" s="515" t="b">
        <f>I27=дод3!K29</f>
        <v>0</v>
      </c>
      <c r="P27" s="514" t="b">
        <f>J27=дод3!O29</f>
        <v>1</v>
      </c>
      <c r="R27" s="516">
        <f t="shared" si="3"/>
        <v>0</v>
      </c>
    </row>
    <row r="28" spans="1:18" ht="31.5" x14ac:dyDescent="0.2">
      <c r="A28" s="171" t="s">
        <v>307</v>
      </c>
      <c r="B28" s="171"/>
      <c r="C28" s="171"/>
      <c r="D28" s="1154" t="s">
        <v>48</v>
      </c>
      <c r="E28" s="198"/>
      <c r="F28" s="345"/>
      <c r="G28" s="1028">
        <f>G29</f>
        <v>739900</v>
      </c>
      <c r="H28" s="1028">
        <f>H29</f>
        <v>739900</v>
      </c>
      <c r="I28" s="1028">
        <f>I29</f>
        <v>0</v>
      </c>
      <c r="J28" s="1028">
        <f>J29</f>
        <v>0</v>
      </c>
      <c r="K28" s="606">
        <f t="shared" si="1"/>
        <v>1479800</v>
      </c>
      <c r="L28" s="300">
        <f>G28-H28-I28</f>
        <v>0</v>
      </c>
      <c r="M28" s="300">
        <f>G28-I28-H28</f>
        <v>0</v>
      </c>
      <c r="N28" s="300"/>
      <c r="R28" s="516">
        <f t="shared" si="3"/>
        <v>0</v>
      </c>
    </row>
    <row r="29" spans="1:18" ht="31.5" x14ac:dyDescent="0.2">
      <c r="A29" s="171" t="s">
        <v>308</v>
      </c>
      <c r="B29" s="171"/>
      <c r="C29" s="171"/>
      <c r="D29" s="1154" t="s">
        <v>48</v>
      </c>
      <c r="E29" s="198"/>
      <c r="F29" s="345"/>
      <c r="G29" s="1028">
        <f>G30+G31+G34+G32+G35+G33</f>
        <v>739900</v>
      </c>
      <c r="H29" s="1028">
        <f>H30+H31+H34+H32+H35+H33</f>
        <v>739900</v>
      </c>
      <c r="I29" s="1028">
        <f>I30+I31+I34+I32+I35+I33</f>
        <v>0</v>
      </c>
      <c r="J29" s="1028">
        <f>J30+J31+J34+J32+J35+J33</f>
        <v>0</v>
      </c>
      <c r="K29" s="606">
        <f t="shared" si="1"/>
        <v>1479800</v>
      </c>
      <c r="L29" s="300">
        <f>G29-H29-I29</f>
        <v>0</v>
      </c>
      <c r="M29" s="300">
        <f>G29-I29-H29</f>
        <v>0</v>
      </c>
      <c r="R29" s="516">
        <f t="shared" si="3"/>
        <v>0</v>
      </c>
    </row>
    <row r="30" spans="1:18" s="24" customFormat="1" ht="31.5" hidden="1" x14ac:dyDescent="0.2">
      <c r="A30" s="44" t="s">
        <v>309</v>
      </c>
      <c r="B30" s="44" t="s">
        <v>12</v>
      </c>
      <c r="C30" s="44" t="s">
        <v>13</v>
      </c>
      <c r="D30" s="146" t="s">
        <v>306</v>
      </c>
      <c r="E30" s="204"/>
      <c r="F30" s="214"/>
      <c r="G30" s="443">
        <f>H30+I30</f>
        <v>0</v>
      </c>
      <c r="H30" s="443"/>
      <c r="I30" s="443"/>
      <c r="J30" s="443"/>
      <c r="K30" s="606">
        <f t="shared" si="1"/>
        <v>0</v>
      </c>
    </row>
    <row r="31" spans="1:18" ht="45" x14ac:dyDescent="0.2">
      <c r="A31" s="1923" t="s">
        <v>310</v>
      </c>
      <c r="B31" s="1925" t="s">
        <v>11</v>
      </c>
      <c r="C31" s="1925" t="s">
        <v>14</v>
      </c>
      <c r="D31" s="1911" t="s">
        <v>302</v>
      </c>
      <c r="E31" s="259" t="s">
        <v>1177</v>
      </c>
      <c r="F31" s="553" t="s">
        <v>1368</v>
      </c>
      <c r="G31" s="903">
        <f>+H31</f>
        <v>739900</v>
      </c>
      <c r="H31" s="903">
        <v>739900</v>
      </c>
      <c r="I31" s="903"/>
      <c r="J31" s="903"/>
      <c r="K31" s="606">
        <f t="shared" si="1"/>
        <v>1479800</v>
      </c>
      <c r="L31" s="300">
        <f>G31-H31-I31</f>
        <v>0</v>
      </c>
      <c r="M31" s="300">
        <f t="shared" ref="M31:M36" si="4">G31-I31-H31</f>
        <v>0</v>
      </c>
      <c r="R31" s="516">
        <f t="shared" ref="R31:R36" si="5">I32+H32-G32</f>
        <v>0</v>
      </c>
    </row>
    <row r="32" spans="1:18" ht="45" hidden="1" x14ac:dyDescent="0.2">
      <c r="A32" s="1924"/>
      <c r="B32" s="1926"/>
      <c r="C32" s="1927"/>
      <c r="D32" s="1922"/>
      <c r="E32" s="496" t="s">
        <v>770</v>
      </c>
      <c r="F32" s="497" t="s">
        <v>771</v>
      </c>
      <c r="G32" s="498"/>
      <c r="H32" s="498"/>
      <c r="I32" s="498"/>
      <c r="J32" s="498"/>
      <c r="K32" s="606">
        <f t="shared" si="1"/>
        <v>0</v>
      </c>
      <c r="L32" s="300">
        <f>G32-H32-I32</f>
        <v>0</v>
      </c>
      <c r="M32" s="300">
        <f t="shared" si="4"/>
        <v>0</v>
      </c>
      <c r="R32" s="516">
        <f t="shared" si="5"/>
        <v>0</v>
      </c>
    </row>
    <row r="33" spans="1:18" ht="45" hidden="1" x14ac:dyDescent="0.25">
      <c r="A33" s="499" t="s">
        <v>842</v>
      </c>
      <c r="B33" s="84">
        <v>7693</v>
      </c>
      <c r="C33" s="44" t="s">
        <v>224</v>
      </c>
      <c r="D33" s="50" t="s">
        <v>122</v>
      </c>
      <c r="E33" s="266" t="s">
        <v>766</v>
      </c>
      <c r="F33" s="546" t="s">
        <v>786</v>
      </c>
      <c r="G33" s="498"/>
      <c r="H33" s="443"/>
      <c r="I33" s="443"/>
      <c r="J33" s="443"/>
      <c r="K33" s="606">
        <f t="shared" si="1"/>
        <v>0</v>
      </c>
      <c r="L33" s="300"/>
      <c r="M33" s="300"/>
      <c r="R33" s="516">
        <f t="shared" si="5"/>
        <v>0</v>
      </c>
    </row>
    <row r="34" spans="1:18" ht="90" hidden="1" x14ac:dyDescent="0.2">
      <c r="A34" s="1902" t="s">
        <v>311</v>
      </c>
      <c r="B34" s="1902" t="s">
        <v>299</v>
      </c>
      <c r="C34" s="1902" t="s">
        <v>11</v>
      </c>
      <c r="D34" s="1920" t="s">
        <v>300</v>
      </c>
      <c r="E34" s="263" t="s">
        <v>834</v>
      </c>
      <c r="F34" s="346" t="s">
        <v>811</v>
      </c>
      <c r="G34" s="443"/>
      <c r="H34" s="443"/>
      <c r="I34" s="443"/>
      <c r="J34" s="443"/>
      <c r="K34" s="606">
        <f t="shared" si="1"/>
        <v>0</v>
      </c>
      <c r="M34" s="300">
        <f t="shared" si="4"/>
        <v>0</v>
      </c>
      <c r="R34" s="516">
        <f t="shared" si="5"/>
        <v>0</v>
      </c>
    </row>
    <row r="35" spans="1:18" ht="60" hidden="1" x14ac:dyDescent="0.2">
      <c r="A35" s="1904"/>
      <c r="B35" s="1904"/>
      <c r="C35" s="1904"/>
      <c r="D35" s="1921"/>
      <c r="E35" s="263" t="s">
        <v>833</v>
      </c>
      <c r="F35" s="347" t="s">
        <v>812</v>
      </c>
      <c r="G35" s="443"/>
      <c r="H35" s="443"/>
      <c r="I35" s="443"/>
      <c r="J35" s="443"/>
      <c r="K35" s="606">
        <f t="shared" si="1"/>
        <v>0</v>
      </c>
      <c r="M35" s="300">
        <f t="shared" si="4"/>
        <v>0</v>
      </c>
      <c r="R35" s="516">
        <f t="shared" si="5"/>
        <v>0</v>
      </c>
    </row>
    <row r="36" spans="1:18" ht="47.25" x14ac:dyDescent="0.2">
      <c r="A36" s="171" t="s">
        <v>312</v>
      </c>
      <c r="B36" s="171"/>
      <c r="C36" s="171"/>
      <c r="D36" s="467" t="s">
        <v>1434</v>
      </c>
      <c r="E36" s="208"/>
      <c r="F36" s="348"/>
      <c r="G36" s="1028">
        <f>G37</f>
        <v>129286832</v>
      </c>
      <c r="H36" s="1028">
        <f>H37</f>
        <v>85853138</v>
      </c>
      <c r="I36" s="1028">
        <f>I37</f>
        <v>43433694</v>
      </c>
      <c r="J36" s="1028">
        <f>J37</f>
        <v>43433694</v>
      </c>
      <c r="K36" s="606">
        <f t="shared" si="1"/>
        <v>302007358</v>
      </c>
      <c r="L36" s="300">
        <f>G36-H36-I36</f>
        <v>0</v>
      </c>
      <c r="M36" s="300">
        <f t="shared" si="4"/>
        <v>0</v>
      </c>
      <c r="R36" s="516">
        <f t="shared" si="5"/>
        <v>0</v>
      </c>
    </row>
    <row r="37" spans="1:18" ht="47.25" x14ac:dyDescent="0.2">
      <c r="A37" s="171" t="s">
        <v>313</v>
      </c>
      <c r="B37" s="171"/>
      <c r="C37" s="171"/>
      <c r="D37" s="467" t="s">
        <v>1434</v>
      </c>
      <c r="E37" s="208"/>
      <c r="F37" s="348"/>
      <c r="G37" s="1031">
        <f>G38+G40+G47+G52+G42+G51+G56+G53+G55+G44+G54++G48</f>
        <v>129286832</v>
      </c>
      <c r="H37" s="1031">
        <f>H38+H40+H47+H52+H42+H51+H56+H53+H55+H44+H54++H48</f>
        <v>85853138</v>
      </c>
      <c r="I37" s="1031">
        <f>I38+I40+I47+I52+I42+I51+I56+I53+I55+I44+I54++I48</f>
        <v>43433694</v>
      </c>
      <c r="J37" s="1031">
        <f>J38+J40+J47+J52+J42+J51+J56+J53+J55+J44+J54++J48</f>
        <v>43433694</v>
      </c>
      <c r="K37" s="606">
        <f t="shared" si="1"/>
        <v>302007358</v>
      </c>
      <c r="L37" s="923"/>
      <c r="M37" s="924"/>
      <c r="N37" s="925"/>
      <c r="O37" s="925"/>
      <c r="P37" s="925"/>
      <c r="R37" s="516"/>
    </row>
    <row r="38" spans="1:18" ht="94.5" x14ac:dyDescent="0.2">
      <c r="A38" s="387" t="s">
        <v>1439</v>
      </c>
      <c r="B38" s="484">
        <v>1040</v>
      </c>
      <c r="C38" s="812"/>
      <c r="D38" s="485" t="s">
        <v>1441</v>
      </c>
      <c r="E38" s="812"/>
      <c r="F38" s="812"/>
      <c r="G38" s="982">
        <f>G39</f>
        <v>18170334</v>
      </c>
      <c r="H38" s="982">
        <f>H39</f>
        <v>0</v>
      </c>
      <c r="I38" s="982">
        <f>I39</f>
        <v>18170334</v>
      </c>
      <c r="J38" s="982">
        <f>J39</f>
        <v>18170334</v>
      </c>
      <c r="K38" s="606">
        <f t="shared" si="1"/>
        <v>54511002</v>
      </c>
      <c r="L38" s="923"/>
      <c r="M38" s="924"/>
      <c r="N38" s="925"/>
      <c r="O38" s="925"/>
      <c r="P38" s="925"/>
      <c r="R38" s="516"/>
    </row>
    <row r="39" spans="1:18" ht="60.6" customHeight="1" x14ac:dyDescent="0.2">
      <c r="A39" s="44" t="s">
        <v>1440</v>
      </c>
      <c r="B39" s="44" t="s">
        <v>1453</v>
      </c>
      <c r="C39" s="44" t="s">
        <v>231</v>
      </c>
      <c r="D39" s="1155" t="s">
        <v>1442</v>
      </c>
      <c r="E39" s="265" t="s">
        <v>1454</v>
      </c>
      <c r="F39" s="553" t="s">
        <v>1373</v>
      </c>
      <c r="G39" s="903">
        <f>H39+I39</f>
        <v>18170334</v>
      </c>
      <c r="H39" s="903"/>
      <c r="I39" s="903">
        <v>18170334</v>
      </c>
      <c r="J39" s="903">
        <v>18170334</v>
      </c>
      <c r="K39" s="606">
        <f t="shared" si="1"/>
        <v>54511002</v>
      </c>
      <c r="L39" s="923"/>
      <c r="M39" s="924"/>
      <c r="N39" s="925"/>
      <c r="O39" s="925"/>
      <c r="P39" s="925"/>
      <c r="R39" s="516"/>
    </row>
    <row r="40" spans="1:18" ht="60.6" customHeight="1" x14ac:dyDescent="0.2">
      <c r="A40" s="387" t="s">
        <v>1435</v>
      </c>
      <c r="B40" s="1081">
        <v>1060</v>
      </c>
      <c r="C40" s="1082"/>
      <c r="D40" s="485" t="s">
        <v>1436</v>
      </c>
      <c r="E40" s="265"/>
      <c r="F40" s="553"/>
      <c r="G40" s="903">
        <f>G41</f>
        <v>8346930</v>
      </c>
      <c r="H40" s="903">
        <f>H41</f>
        <v>346930</v>
      </c>
      <c r="I40" s="903">
        <f>I41</f>
        <v>8000000</v>
      </c>
      <c r="J40" s="903">
        <f>J41</f>
        <v>8000000</v>
      </c>
      <c r="K40" s="606">
        <f t="shared" si="1"/>
        <v>24693860</v>
      </c>
      <c r="L40" s="923"/>
      <c r="M40" s="924"/>
      <c r="N40" s="925"/>
      <c r="O40" s="925"/>
      <c r="P40" s="925"/>
      <c r="R40" s="516"/>
    </row>
    <row r="41" spans="1:18" ht="60.6" customHeight="1" x14ac:dyDescent="0.2">
      <c r="A41" s="387" t="s">
        <v>2081</v>
      </c>
      <c r="B41" s="1081">
        <v>1061</v>
      </c>
      <c r="C41" s="1082" t="s">
        <v>933</v>
      </c>
      <c r="D41" s="485" t="s">
        <v>2082</v>
      </c>
      <c r="E41" s="265" t="s">
        <v>1454</v>
      </c>
      <c r="F41" s="553" t="s">
        <v>1373</v>
      </c>
      <c r="G41" s="903">
        <f>H41+I41</f>
        <v>8346930</v>
      </c>
      <c r="H41" s="903">
        <v>346930</v>
      </c>
      <c r="I41" s="903">
        <v>8000000</v>
      </c>
      <c r="J41" s="903">
        <v>8000000</v>
      </c>
      <c r="K41" s="606">
        <f t="shared" si="1"/>
        <v>24693860</v>
      </c>
      <c r="L41" s="923"/>
      <c r="M41" s="924"/>
      <c r="N41" s="925"/>
      <c r="O41" s="925"/>
      <c r="P41" s="925"/>
      <c r="R41" s="516"/>
    </row>
    <row r="42" spans="1:18" s="24" customFormat="1" ht="70.150000000000006" customHeight="1" x14ac:dyDescent="0.2">
      <c r="A42" s="44" t="s">
        <v>317</v>
      </c>
      <c r="B42" s="44" t="s">
        <v>12</v>
      </c>
      <c r="C42" s="44"/>
      <c r="D42" s="1155" t="s">
        <v>1388</v>
      </c>
      <c r="E42" s="265"/>
      <c r="F42" s="553"/>
      <c r="G42" s="903">
        <f>G43</f>
        <v>9828000</v>
      </c>
      <c r="H42" s="903">
        <f>H43</f>
        <v>1024300</v>
      </c>
      <c r="I42" s="903">
        <f>I43</f>
        <v>8803700</v>
      </c>
      <c r="J42" s="903">
        <f>J43</f>
        <v>8803700</v>
      </c>
      <c r="K42" s="606">
        <f t="shared" si="1"/>
        <v>28459700</v>
      </c>
      <c r="R42" s="516"/>
    </row>
    <row r="43" spans="1:18" s="24" customFormat="1" ht="51.6" customHeight="1" x14ac:dyDescent="0.2">
      <c r="A43" s="44" t="s">
        <v>1199</v>
      </c>
      <c r="B43" s="44">
        <v>1142</v>
      </c>
      <c r="C43" s="44" t="s">
        <v>231</v>
      </c>
      <c r="D43" s="197" t="s">
        <v>320</v>
      </c>
      <c r="E43" s="265" t="s">
        <v>1454</v>
      </c>
      <c r="F43" s="553" t="s">
        <v>1373</v>
      </c>
      <c r="G43" s="903">
        <f t="shared" ref="G43:G56" si="6">H43+I43</f>
        <v>9828000</v>
      </c>
      <c r="H43" s="466">
        <v>1024300</v>
      </c>
      <c r="I43" s="903">
        <f>8663000+140700</f>
        <v>8803700</v>
      </c>
      <c r="J43" s="903">
        <f>8663000+140700</f>
        <v>8803700</v>
      </c>
      <c r="K43" s="606">
        <f t="shared" si="1"/>
        <v>28459700</v>
      </c>
      <c r="R43" s="516"/>
    </row>
    <row r="44" spans="1:18" s="24" customFormat="1" ht="63" x14ac:dyDescent="0.2">
      <c r="A44" s="387" t="s">
        <v>1827</v>
      </c>
      <c r="B44" s="1083">
        <v>1180</v>
      </c>
      <c r="C44" s="387"/>
      <c r="D44" s="392" t="s">
        <v>1828</v>
      </c>
      <c r="E44" s="265"/>
      <c r="F44" s="553"/>
      <c r="G44" s="903">
        <f>G45+G46</f>
        <v>5226774</v>
      </c>
      <c r="H44" s="903">
        <f>H45+H46</f>
        <v>4767114</v>
      </c>
      <c r="I44" s="903">
        <f>I45+I46</f>
        <v>459660</v>
      </c>
      <c r="J44" s="903">
        <f>J45+J46</f>
        <v>459660</v>
      </c>
      <c r="K44" s="606">
        <f t="shared" si="1"/>
        <v>10913208</v>
      </c>
      <c r="R44" s="516"/>
    </row>
    <row r="45" spans="1:18" s="24" customFormat="1" ht="110.25" x14ac:dyDescent="0.25">
      <c r="A45" s="44" t="s">
        <v>1823</v>
      </c>
      <c r="B45" s="40">
        <v>1181</v>
      </c>
      <c r="C45" s="44" t="s">
        <v>231</v>
      </c>
      <c r="D45" s="1210" t="s">
        <v>1824</v>
      </c>
      <c r="E45" s="265" t="s">
        <v>1454</v>
      </c>
      <c r="F45" s="553" t="s">
        <v>1373</v>
      </c>
      <c r="G45" s="903">
        <f t="shared" si="6"/>
        <v>260675</v>
      </c>
      <c r="H45" s="466">
        <v>122777</v>
      </c>
      <c r="I45" s="903">
        <v>137898</v>
      </c>
      <c r="J45" s="903">
        <v>137898</v>
      </c>
      <c r="K45" s="606">
        <f t="shared" si="1"/>
        <v>659248</v>
      </c>
      <c r="R45" s="516"/>
    </row>
    <row r="46" spans="1:18" s="24" customFormat="1" ht="94.5" x14ac:dyDescent="0.25">
      <c r="A46" s="44" t="s">
        <v>1825</v>
      </c>
      <c r="B46" s="40">
        <v>1182</v>
      </c>
      <c r="C46" s="44" t="s">
        <v>231</v>
      </c>
      <c r="D46" s="1210" t="s">
        <v>1826</v>
      </c>
      <c r="E46" s="265" t="s">
        <v>1454</v>
      </c>
      <c r="F46" s="553" t="s">
        <v>1373</v>
      </c>
      <c r="G46" s="903">
        <f t="shared" si="6"/>
        <v>4966099</v>
      </c>
      <c r="H46" s="466">
        <v>4644337</v>
      </c>
      <c r="I46" s="903">
        <v>321762</v>
      </c>
      <c r="J46" s="903">
        <v>321762</v>
      </c>
      <c r="K46" s="606">
        <f t="shared" si="1"/>
        <v>10253960</v>
      </c>
      <c r="R46" s="516"/>
    </row>
    <row r="47" spans="1:18" s="24" customFormat="1" ht="78.75" x14ac:dyDescent="0.2">
      <c r="A47" s="44" t="s">
        <v>1445</v>
      </c>
      <c r="B47" s="44" t="s">
        <v>1455</v>
      </c>
      <c r="C47" s="44" t="s">
        <v>231</v>
      </c>
      <c r="D47" s="197" t="s">
        <v>1450</v>
      </c>
      <c r="E47" s="265" t="s">
        <v>1454</v>
      </c>
      <c r="F47" s="553" t="s">
        <v>1373</v>
      </c>
      <c r="G47" s="903">
        <f t="shared" si="6"/>
        <v>332190</v>
      </c>
      <c r="H47" s="466">
        <v>332190</v>
      </c>
      <c r="I47" s="903"/>
      <c r="J47" s="903"/>
      <c r="K47" s="606">
        <f t="shared" si="1"/>
        <v>664380</v>
      </c>
      <c r="R47" s="516"/>
    </row>
    <row r="48" spans="1:18" s="24" customFormat="1" ht="63" x14ac:dyDescent="0.2">
      <c r="A48" s="387" t="s">
        <v>1925</v>
      </c>
      <c r="B48" s="1081">
        <v>1220</v>
      </c>
      <c r="C48" s="387"/>
      <c r="D48" s="1079" t="s">
        <v>1926</v>
      </c>
      <c r="E48" s="265"/>
      <c r="F48" s="553"/>
      <c r="G48" s="903">
        <f t="shared" si="6"/>
        <v>7000000</v>
      </c>
      <c r="H48" s="903">
        <f>H49+H50</f>
        <v>0</v>
      </c>
      <c r="I48" s="903">
        <f>I49+I50</f>
        <v>7000000</v>
      </c>
      <c r="J48" s="903">
        <f>J49+J50</f>
        <v>7000000</v>
      </c>
      <c r="K48" s="606">
        <f t="shared" si="1"/>
        <v>21000000</v>
      </c>
      <c r="R48" s="516"/>
    </row>
    <row r="49" spans="1:18" s="24" customFormat="1" ht="94.5" x14ac:dyDescent="0.2">
      <c r="A49" s="387" t="s">
        <v>1933</v>
      </c>
      <c r="B49" s="1081">
        <v>1221</v>
      </c>
      <c r="C49" s="387" t="s">
        <v>231</v>
      </c>
      <c r="D49" s="1079" t="s">
        <v>1934</v>
      </c>
      <c r="E49" s="265" t="s">
        <v>1454</v>
      </c>
      <c r="F49" s="553" t="s">
        <v>1373</v>
      </c>
      <c r="G49" s="903">
        <f t="shared" si="6"/>
        <v>2100000</v>
      </c>
      <c r="H49" s="466"/>
      <c r="I49" s="903">
        <v>2100000</v>
      </c>
      <c r="J49" s="903">
        <v>2100000</v>
      </c>
      <c r="K49" s="606">
        <f t="shared" si="1"/>
        <v>6300000</v>
      </c>
      <c r="R49" s="516"/>
    </row>
    <row r="50" spans="1:18" s="24" customFormat="1" ht="78.75" x14ac:dyDescent="0.2">
      <c r="A50" s="387" t="s">
        <v>1927</v>
      </c>
      <c r="B50" s="1081">
        <v>1222</v>
      </c>
      <c r="C50" s="387" t="s">
        <v>231</v>
      </c>
      <c r="D50" s="1079" t="s">
        <v>1928</v>
      </c>
      <c r="E50" s="265" t="s">
        <v>1454</v>
      </c>
      <c r="F50" s="553" t="s">
        <v>1373</v>
      </c>
      <c r="G50" s="903">
        <f t="shared" si="6"/>
        <v>4900000</v>
      </c>
      <c r="H50" s="466"/>
      <c r="I50" s="903">
        <v>4900000</v>
      </c>
      <c r="J50" s="903">
        <v>4900000</v>
      </c>
      <c r="K50" s="606">
        <f t="shared" si="1"/>
        <v>14700000</v>
      </c>
      <c r="R50" s="516"/>
    </row>
    <row r="51" spans="1:18" s="24" customFormat="1" ht="70.150000000000006" customHeight="1" x14ac:dyDescent="0.2">
      <c r="A51" s="44" t="s">
        <v>606</v>
      </c>
      <c r="B51" s="44" t="s">
        <v>607</v>
      </c>
      <c r="C51" s="44" t="s">
        <v>11</v>
      </c>
      <c r="D51" s="197" t="s">
        <v>608</v>
      </c>
      <c r="E51" s="265" t="s">
        <v>1454</v>
      </c>
      <c r="F51" s="553" t="s">
        <v>1373</v>
      </c>
      <c r="G51" s="903">
        <f t="shared" si="6"/>
        <v>1376950</v>
      </c>
      <c r="H51" s="466">
        <v>1376950</v>
      </c>
      <c r="I51" s="903"/>
      <c r="J51" s="903"/>
      <c r="K51" s="606">
        <f t="shared" si="1"/>
        <v>2753900</v>
      </c>
      <c r="R51" s="516">
        <f>I57+H57-G57</f>
        <v>0</v>
      </c>
    </row>
    <row r="52" spans="1:18" s="24" customFormat="1" ht="70.150000000000006" customHeight="1" x14ac:dyDescent="0.2">
      <c r="A52" s="44" t="s">
        <v>321</v>
      </c>
      <c r="B52" s="44" t="s">
        <v>322</v>
      </c>
      <c r="C52" s="44" t="s">
        <v>11</v>
      </c>
      <c r="D52" s="197" t="s">
        <v>323</v>
      </c>
      <c r="E52" s="265" t="s">
        <v>1454</v>
      </c>
      <c r="F52" s="553" t="s">
        <v>1373</v>
      </c>
      <c r="G52" s="903">
        <f t="shared" si="6"/>
        <v>3481257</v>
      </c>
      <c r="H52" s="466">
        <v>3481257</v>
      </c>
      <c r="I52" s="903"/>
      <c r="J52" s="903"/>
      <c r="K52" s="606">
        <f t="shared" si="1"/>
        <v>6962514</v>
      </c>
      <c r="R52" s="516"/>
    </row>
    <row r="53" spans="1:18" s="24" customFormat="1" ht="70.150000000000006" customHeight="1" x14ac:dyDescent="0.2">
      <c r="A53" s="387" t="s">
        <v>324</v>
      </c>
      <c r="B53" s="398">
        <v>9330</v>
      </c>
      <c r="C53" s="387" t="s">
        <v>11</v>
      </c>
      <c r="D53" s="408" t="s">
        <v>325</v>
      </c>
      <c r="E53" s="265" t="s">
        <v>1454</v>
      </c>
      <c r="F53" s="553" t="s">
        <v>1373</v>
      </c>
      <c r="G53" s="903">
        <f t="shared" si="6"/>
        <v>21231900</v>
      </c>
      <c r="H53" s="466">
        <v>21231900</v>
      </c>
      <c r="I53" s="903"/>
      <c r="J53" s="903"/>
      <c r="K53" s="606">
        <f t="shared" si="1"/>
        <v>42463800</v>
      </c>
      <c r="R53" s="516"/>
    </row>
    <row r="54" spans="1:18" s="24" customFormat="1" ht="81.599999999999994" customHeight="1" x14ac:dyDescent="0.25">
      <c r="A54" s="44" t="s">
        <v>696</v>
      </c>
      <c r="B54" s="40">
        <v>9350</v>
      </c>
      <c r="C54" s="44" t="s">
        <v>11</v>
      </c>
      <c r="D54" s="45" t="s">
        <v>700</v>
      </c>
      <c r="E54" s="265" t="s">
        <v>1454</v>
      </c>
      <c r="F54" s="553" t="s">
        <v>1373</v>
      </c>
      <c r="G54" s="903">
        <f t="shared" si="6"/>
        <v>49400801</v>
      </c>
      <c r="H54" s="466">
        <v>49400801</v>
      </c>
      <c r="I54" s="903"/>
      <c r="J54" s="903"/>
      <c r="K54" s="606">
        <f t="shared" si="1"/>
        <v>98801602</v>
      </c>
      <c r="R54" s="516"/>
    </row>
    <row r="55" spans="1:18" s="24" customFormat="1" ht="110.25" x14ac:dyDescent="0.2">
      <c r="A55" s="44" t="s">
        <v>1037</v>
      </c>
      <c r="B55" s="40">
        <v>9380</v>
      </c>
      <c r="C55" s="44" t="s">
        <v>11</v>
      </c>
      <c r="D55" s="134" t="s">
        <v>1038</v>
      </c>
      <c r="E55" s="265" t="s">
        <v>1454</v>
      </c>
      <c r="F55" s="553" t="s">
        <v>1373</v>
      </c>
      <c r="G55" s="903">
        <f t="shared" si="6"/>
        <v>3782740</v>
      </c>
      <c r="H55" s="466">
        <v>3782740</v>
      </c>
      <c r="I55" s="903"/>
      <c r="J55" s="903"/>
      <c r="K55" s="606">
        <f t="shared" si="1"/>
        <v>7565480</v>
      </c>
      <c r="R55" s="516"/>
    </row>
    <row r="56" spans="1:18" s="24" customFormat="1" ht="103.15" customHeight="1" x14ac:dyDescent="0.2">
      <c r="A56" s="165" t="s">
        <v>1576</v>
      </c>
      <c r="B56" s="165" t="s">
        <v>299</v>
      </c>
      <c r="C56" s="165" t="s">
        <v>11</v>
      </c>
      <c r="D56" s="34" t="s">
        <v>300</v>
      </c>
      <c r="E56" s="265" t="s">
        <v>1454</v>
      </c>
      <c r="F56" s="553" t="s">
        <v>1373</v>
      </c>
      <c r="G56" s="903">
        <f t="shared" si="6"/>
        <v>1108956</v>
      </c>
      <c r="H56" s="466">
        <v>108956</v>
      </c>
      <c r="I56" s="903">
        <v>1000000</v>
      </c>
      <c r="J56" s="903">
        <v>1000000</v>
      </c>
      <c r="K56" s="606">
        <f t="shared" si="1"/>
        <v>3217912</v>
      </c>
      <c r="R56" s="516"/>
    </row>
    <row r="57" spans="1:18" s="24" customFormat="1" ht="47.25" x14ac:dyDescent="0.2">
      <c r="A57" s="173" t="s">
        <v>326</v>
      </c>
      <c r="B57" s="173"/>
      <c r="C57" s="173"/>
      <c r="D57" s="1154" t="s">
        <v>1181</v>
      </c>
      <c r="E57" s="211"/>
      <c r="F57" s="349"/>
      <c r="G57" s="1028">
        <f>G58</f>
        <v>281805480</v>
      </c>
      <c r="H57" s="1028">
        <f>H58</f>
        <v>234108311</v>
      </c>
      <c r="I57" s="1028">
        <f>I58</f>
        <v>47697169</v>
      </c>
      <c r="J57" s="1028">
        <f>J58</f>
        <v>42958569</v>
      </c>
      <c r="K57" s="606">
        <f t="shared" si="1"/>
        <v>606569529</v>
      </c>
    </row>
    <row r="58" spans="1:18" s="24" customFormat="1" ht="47.25" x14ac:dyDescent="0.2">
      <c r="A58" s="173" t="s">
        <v>327</v>
      </c>
      <c r="B58" s="173"/>
      <c r="C58" s="173"/>
      <c r="D58" s="1154" t="s">
        <v>1181</v>
      </c>
      <c r="E58" s="211"/>
      <c r="F58" s="349"/>
      <c r="G58" s="1028">
        <f>SUM(G59:G75)</f>
        <v>281805480</v>
      </c>
      <c r="H58" s="1028">
        <f>SUM(H59:H75)</f>
        <v>234108311</v>
      </c>
      <c r="I58" s="1028">
        <f>SUM(I59:I75)</f>
        <v>47697169</v>
      </c>
      <c r="J58" s="1028">
        <f>SUM(J59:J75)</f>
        <v>42958569</v>
      </c>
      <c r="K58" s="606">
        <f t="shared" si="1"/>
        <v>606569529</v>
      </c>
      <c r="R58" s="516">
        <f>I59+H59-G59</f>
        <v>0</v>
      </c>
    </row>
    <row r="59" spans="1:18" s="24" customFormat="1" ht="47.25" x14ac:dyDescent="0.2">
      <c r="A59" s="166" t="s">
        <v>329</v>
      </c>
      <c r="B59" s="166" t="s">
        <v>58</v>
      </c>
      <c r="C59" s="166" t="s">
        <v>99</v>
      </c>
      <c r="D59" s="629" t="s">
        <v>59</v>
      </c>
      <c r="E59" s="232" t="s">
        <v>1407</v>
      </c>
      <c r="F59" s="553" t="s">
        <v>1372</v>
      </c>
      <c r="G59" s="903">
        <f t="shared" ref="G59:G75" si="7">H59+I59</f>
        <v>27922744</v>
      </c>
      <c r="H59" s="1032">
        <f>24008400+348900</f>
        <v>24357300</v>
      </c>
      <c r="I59" s="903">
        <f>8265444-4700000</f>
        <v>3565444</v>
      </c>
      <c r="J59" s="903">
        <f>8265444-4700000</f>
        <v>3565444</v>
      </c>
      <c r="K59" s="606">
        <f t="shared" si="1"/>
        <v>59410932</v>
      </c>
      <c r="N59" s="275"/>
      <c r="O59" s="24" t="b">
        <f>H59=дод3!F92</f>
        <v>1</v>
      </c>
    </row>
    <row r="60" spans="1:18" s="24" customFormat="1" ht="47.25" customHeight="1" x14ac:dyDescent="0.2">
      <c r="A60" s="44" t="s">
        <v>336</v>
      </c>
      <c r="B60" s="44" t="s">
        <v>337</v>
      </c>
      <c r="C60" s="44" t="s">
        <v>61</v>
      </c>
      <c r="D60" s="197" t="s">
        <v>934</v>
      </c>
      <c r="E60" s="232" t="s">
        <v>1407</v>
      </c>
      <c r="F60" s="553" t="s">
        <v>1372</v>
      </c>
      <c r="G60" s="903">
        <f t="shared" si="7"/>
        <v>42760911</v>
      </c>
      <c r="H60" s="1032">
        <f>42443211+281500</f>
        <v>42724711</v>
      </c>
      <c r="I60" s="903">
        <v>36200</v>
      </c>
      <c r="J60" s="903">
        <v>36200</v>
      </c>
      <c r="K60" s="606">
        <f t="shared" si="1"/>
        <v>85558022</v>
      </c>
      <c r="L60" s="73">
        <f>дод3!E93</f>
        <v>42724711</v>
      </c>
      <c r="M60" s="73">
        <f>дод3!J93</f>
        <v>36200</v>
      </c>
    </row>
    <row r="61" spans="1:18" s="24" customFormat="1" ht="47.25" x14ac:dyDescent="0.2">
      <c r="A61" s="166" t="s">
        <v>330</v>
      </c>
      <c r="B61" s="166" t="s">
        <v>60</v>
      </c>
      <c r="C61" s="166" t="s">
        <v>100</v>
      </c>
      <c r="D61" s="1152" t="s">
        <v>442</v>
      </c>
      <c r="E61" s="232" t="s">
        <v>1407</v>
      </c>
      <c r="F61" s="553" t="s">
        <v>1372</v>
      </c>
      <c r="G61" s="903">
        <f t="shared" si="7"/>
        <v>5873500</v>
      </c>
      <c r="H61" s="1032">
        <v>5873500</v>
      </c>
      <c r="I61" s="903"/>
      <c r="J61" s="903"/>
      <c r="K61" s="606">
        <f t="shared" si="1"/>
        <v>11747000</v>
      </c>
      <c r="R61" s="516">
        <f>I62+H62-G62</f>
        <v>0</v>
      </c>
    </row>
    <row r="62" spans="1:18" s="24" customFormat="1" ht="47.25" x14ac:dyDescent="0.2">
      <c r="A62" s="166" t="s">
        <v>365</v>
      </c>
      <c r="B62" s="166" t="s">
        <v>366</v>
      </c>
      <c r="C62" s="166" t="s">
        <v>102</v>
      </c>
      <c r="D62" s="34" t="s">
        <v>367</v>
      </c>
      <c r="E62" s="232" t="s">
        <v>1407</v>
      </c>
      <c r="F62" s="553" t="s">
        <v>1372</v>
      </c>
      <c r="G62" s="903">
        <f t="shared" si="7"/>
        <v>6245700</v>
      </c>
      <c r="H62" s="1032">
        <f>6594600-348900</f>
        <v>6245700</v>
      </c>
      <c r="I62" s="903"/>
      <c r="J62" s="903"/>
      <c r="K62" s="606">
        <f t="shared" si="1"/>
        <v>12491400</v>
      </c>
      <c r="O62" s="24" t="b">
        <f>H62=дод3!E95</f>
        <v>1</v>
      </c>
    </row>
    <row r="63" spans="1:18" s="56" customFormat="1" ht="47.25" x14ac:dyDescent="0.2">
      <c r="A63" s="166" t="s">
        <v>331</v>
      </c>
      <c r="B63" s="166" t="s">
        <v>62</v>
      </c>
      <c r="C63" s="166" t="s">
        <v>104</v>
      </c>
      <c r="D63" s="1152" t="s">
        <v>105</v>
      </c>
      <c r="E63" s="232" t="s">
        <v>1407</v>
      </c>
      <c r="F63" s="553" t="s">
        <v>1372</v>
      </c>
      <c r="G63" s="903">
        <f t="shared" si="7"/>
        <v>32177565</v>
      </c>
      <c r="H63" s="1032">
        <v>32177565</v>
      </c>
      <c r="I63" s="903"/>
      <c r="J63" s="903"/>
      <c r="K63" s="606">
        <f t="shared" si="1"/>
        <v>64355130</v>
      </c>
      <c r="R63" s="516">
        <f>I64+H64-G64</f>
        <v>0</v>
      </c>
    </row>
    <row r="64" spans="1:18" ht="47.25" x14ac:dyDescent="0.2">
      <c r="A64" s="166" t="s">
        <v>332</v>
      </c>
      <c r="B64" s="166" t="s">
        <v>101</v>
      </c>
      <c r="C64" s="166" t="s">
        <v>107</v>
      </c>
      <c r="D64" s="1152" t="s">
        <v>108</v>
      </c>
      <c r="E64" s="232" t="s">
        <v>1407</v>
      </c>
      <c r="F64" s="553" t="s">
        <v>1372</v>
      </c>
      <c r="G64" s="903">
        <f t="shared" si="7"/>
        <v>6674080</v>
      </c>
      <c r="H64" s="1032">
        <v>6674080</v>
      </c>
      <c r="I64" s="903"/>
      <c r="J64" s="903"/>
      <c r="K64" s="606">
        <f t="shared" si="1"/>
        <v>13348160</v>
      </c>
      <c r="M64" s="300">
        <f>G64-I64-H64</f>
        <v>0</v>
      </c>
    </row>
    <row r="65" spans="1:18" ht="47.25" x14ac:dyDescent="0.2">
      <c r="A65" s="166" t="s">
        <v>338</v>
      </c>
      <c r="B65" s="166" t="s">
        <v>339</v>
      </c>
      <c r="C65" s="166" t="s">
        <v>109</v>
      </c>
      <c r="D65" s="1152" t="s">
        <v>624</v>
      </c>
      <c r="E65" s="232" t="s">
        <v>1407</v>
      </c>
      <c r="F65" s="553" t="s">
        <v>1372</v>
      </c>
      <c r="G65" s="903">
        <f t="shared" si="7"/>
        <v>3824700</v>
      </c>
      <c r="H65" s="1032">
        <v>3824700</v>
      </c>
      <c r="I65" s="903"/>
      <c r="J65" s="903"/>
      <c r="K65" s="606">
        <f t="shared" si="1"/>
        <v>7649400</v>
      </c>
      <c r="M65" s="300"/>
      <c r="R65" s="516">
        <f>I66+H66-G66</f>
        <v>0</v>
      </c>
    </row>
    <row r="66" spans="1:18" ht="47.25" x14ac:dyDescent="0.2">
      <c r="A66" s="166" t="s">
        <v>333</v>
      </c>
      <c r="B66" s="166" t="s">
        <v>103</v>
      </c>
      <c r="C66" s="166" t="s">
        <v>111</v>
      </c>
      <c r="D66" s="1152" t="s">
        <v>112</v>
      </c>
      <c r="E66" s="232" t="s">
        <v>1407</v>
      </c>
      <c r="F66" s="553" t="s">
        <v>1372</v>
      </c>
      <c r="G66" s="903">
        <f t="shared" si="7"/>
        <v>46053280</v>
      </c>
      <c r="H66" s="903">
        <v>45067280</v>
      </c>
      <c r="I66" s="903">
        <v>986000</v>
      </c>
      <c r="J66" s="599">
        <v>986000</v>
      </c>
      <c r="K66" s="606">
        <f t="shared" si="1"/>
        <v>93092560</v>
      </c>
      <c r="M66" s="300">
        <f>G66-I66-H66</f>
        <v>0</v>
      </c>
      <c r="R66" s="516">
        <f>I67+H67-G67</f>
        <v>0</v>
      </c>
    </row>
    <row r="67" spans="1:18" s="24" customFormat="1" ht="47.25" x14ac:dyDescent="0.2">
      <c r="A67" s="166" t="s">
        <v>334</v>
      </c>
      <c r="B67" s="166" t="s">
        <v>106</v>
      </c>
      <c r="C67" s="166" t="s">
        <v>111</v>
      </c>
      <c r="D67" s="1156" t="s">
        <v>340</v>
      </c>
      <c r="E67" s="232" t="s">
        <v>1407</v>
      </c>
      <c r="F67" s="553" t="s">
        <v>1372</v>
      </c>
      <c r="G67" s="903">
        <f t="shared" si="7"/>
        <v>891800</v>
      </c>
      <c r="H67" s="599">
        <v>891800</v>
      </c>
      <c r="I67" s="599"/>
      <c r="J67" s="599"/>
      <c r="K67" s="606">
        <f t="shared" si="1"/>
        <v>1783600</v>
      </c>
    </row>
    <row r="68" spans="1:18" s="24" customFormat="1" ht="47.25" x14ac:dyDescent="0.2">
      <c r="A68" s="166" t="s">
        <v>335</v>
      </c>
      <c r="B68" s="166" t="s">
        <v>110</v>
      </c>
      <c r="C68" s="549" t="s">
        <v>128</v>
      </c>
      <c r="D68" s="1157" t="s">
        <v>129</v>
      </c>
      <c r="E68" s="232" t="s">
        <v>1407</v>
      </c>
      <c r="F68" s="553" t="s">
        <v>1372</v>
      </c>
      <c r="G68" s="903">
        <f t="shared" si="7"/>
        <v>13447065</v>
      </c>
      <c r="H68" s="599">
        <v>13293265</v>
      </c>
      <c r="I68" s="599">
        <v>153800</v>
      </c>
      <c r="J68" s="599">
        <v>153800</v>
      </c>
      <c r="K68" s="606">
        <f t="shared" si="1"/>
        <v>27047930</v>
      </c>
      <c r="L68" s="73">
        <f>дод3!F105</f>
        <v>128600</v>
      </c>
    </row>
    <row r="69" spans="1:18" ht="47.25" x14ac:dyDescent="0.2">
      <c r="A69" s="166" t="s">
        <v>341</v>
      </c>
      <c r="B69" s="166" t="s">
        <v>342</v>
      </c>
      <c r="C69" s="166" t="s">
        <v>128</v>
      </c>
      <c r="D69" s="1156" t="s">
        <v>343</v>
      </c>
      <c r="E69" s="232" t="s">
        <v>1407</v>
      </c>
      <c r="F69" s="553" t="s">
        <v>1372</v>
      </c>
      <c r="G69" s="903">
        <f t="shared" si="7"/>
        <v>11887710</v>
      </c>
      <c r="H69" s="599">
        <v>10767710</v>
      </c>
      <c r="I69" s="599">
        <v>1120000</v>
      </c>
      <c r="J69" s="599">
        <v>1120000</v>
      </c>
      <c r="K69" s="606">
        <f t="shared" si="1"/>
        <v>24895420</v>
      </c>
      <c r="L69" s="300">
        <f>G69-H69-I69</f>
        <v>0</v>
      </c>
      <c r="M69" s="300">
        <f>G69-I69-H69</f>
        <v>0</v>
      </c>
      <c r="R69" s="516">
        <f>I75+H75-G75</f>
        <v>0</v>
      </c>
    </row>
    <row r="70" spans="1:18" ht="47.25" x14ac:dyDescent="0.2">
      <c r="A70" s="794" t="s">
        <v>349</v>
      </c>
      <c r="B70" s="794" t="s">
        <v>350</v>
      </c>
      <c r="C70" s="795" t="s">
        <v>128</v>
      </c>
      <c r="D70" s="1158" t="s">
        <v>351</v>
      </c>
      <c r="E70" s="232" t="s">
        <v>1407</v>
      </c>
      <c r="F70" s="553" t="s">
        <v>1372</v>
      </c>
      <c r="G70" s="903">
        <f>H70+I70</f>
        <v>19161200</v>
      </c>
      <c r="H70" s="599">
        <v>128600</v>
      </c>
      <c r="I70" s="599">
        <v>19032600</v>
      </c>
      <c r="J70" s="599">
        <f>21294000-7000000</f>
        <v>14294000</v>
      </c>
      <c r="K70" s="606">
        <f>SUM(G70:J70)</f>
        <v>52616400</v>
      </c>
      <c r="L70" s="301" t="s">
        <v>997</v>
      </c>
      <c r="M70" s="300">
        <f>G70-I70-H70</f>
        <v>0</v>
      </c>
    </row>
    <row r="71" spans="1:18" ht="47.25" x14ac:dyDescent="0.2">
      <c r="A71" s="44" t="s">
        <v>977</v>
      </c>
      <c r="B71" s="44" t="s">
        <v>449</v>
      </c>
      <c r="C71" s="44" t="s">
        <v>411</v>
      </c>
      <c r="D71" s="197" t="s">
        <v>985</v>
      </c>
      <c r="E71" s="232" t="s">
        <v>1407</v>
      </c>
      <c r="F71" s="553" t="s">
        <v>1372</v>
      </c>
      <c r="G71" s="903">
        <f t="shared" si="7"/>
        <v>858044</v>
      </c>
      <c r="H71" s="599"/>
      <c r="I71" s="599">
        <v>858044</v>
      </c>
      <c r="J71" s="599">
        <v>858044</v>
      </c>
      <c r="K71" s="606">
        <f t="shared" si="1"/>
        <v>2574132</v>
      </c>
      <c r="L71" s="300"/>
      <c r="M71" s="300"/>
      <c r="R71" s="516"/>
    </row>
    <row r="72" spans="1:18" ht="63" x14ac:dyDescent="0.2">
      <c r="A72" s="387" t="s">
        <v>1015</v>
      </c>
      <c r="B72" s="387" t="s">
        <v>806</v>
      </c>
      <c r="C72" s="387" t="s">
        <v>224</v>
      </c>
      <c r="D72" s="197" t="s">
        <v>1014</v>
      </c>
      <c r="E72" s="232" t="s">
        <v>1407</v>
      </c>
      <c r="F72" s="553" t="s">
        <v>1372</v>
      </c>
      <c r="G72" s="903">
        <f t="shared" si="7"/>
        <v>11401081</v>
      </c>
      <c r="H72" s="599"/>
      <c r="I72" s="599">
        <f>5000000+1701081+4700000</f>
        <v>11401081</v>
      </c>
      <c r="J72" s="599">
        <f>5000000+1701081+4700000</f>
        <v>11401081</v>
      </c>
      <c r="K72" s="606">
        <f t="shared" si="1"/>
        <v>34203243</v>
      </c>
      <c r="L72" s="300"/>
      <c r="M72" s="300"/>
      <c r="R72" s="516"/>
    </row>
    <row r="73" spans="1:18" ht="78.75" x14ac:dyDescent="0.25">
      <c r="A73" s="44" t="s">
        <v>852</v>
      </c>
      <c r="B73" s="44" t="s">
        <v>662</v>
      </c>
      <c r="C73" s="44" t="s">
        <v>224</v>
      </c>
      <c r="D73" s="415" t="s">
        <v>663</v>
      </c>
      <c r="E73" s="232" t="s">
        <v>1407</v>
      </c>
      <c r="F73" s="553" t="s">
        <v>1372</v>
      </c>
      <c r="G73" s="903">
        <f t="shared" si="7"/>
        <v>44000</v>
      </c>
      <c r="H73" s="599"/>
      <c r="I73" s="599">
        <f>33000+11000</f>
        <v>44000</v>
      </c>
      <c r="J73" s="599">
        <f>33000+11000</f>
        <v>44000</v>
      </c>
      <c r="K73" s="606">
        <f t="shared" si="1"/>
        <v>132000</v>
      </c>
      <c r="L73" s="300"/>
      <c r="M73" s="300"/>
      <c r="R73" s="516"/>
    </row>
    <row r="74" spans="1:18" ht="47.25" x14ac:dyDescent="0.2">
      <c r="A74" s="387" t="s">
        <v>1929</v>
      </c>
      <c r="B74" s="387">
        <v>7380</v>
      </c>
      <c r="C74" s="387" t="s">
        <v>224</v>
      </c>
      <c r="D74" s="1155" t="s">
        <v>1864</v>
      </c>
      <c r="E74" s="232" t="s">
        <v>1407</v>
      </c>
      <c r="F74" s="553" t="s">
        <v>1372</v>
      </c>
      <c r="G74" s="574">
        <f t="shared" si="7"/>
        <v>1500000</v>
      </c>
      <c r="H74" s="1377"/>
      <c r="I74" s="574">
        <v>1500000</v>
      </c>
      <c r="J74" s="574">
        <v>1500000</v>
      </c>
      <c r="K74" s="606">
        <f t="shared" si="1"/>
        <v>4500000</v>
      </c>
      <c r="L74" s="300"/>
      <c r="M74" s="300"/>
      <c r="R74" s="516"/>
    </row>
    <row r="75" spans="1:18" ht="97.5" customHeight="1" x14ac:dyDescent="0.2">
      <c r="A75" s="166" t="s">
        <v>1001</v>
      </c>
      <c r="B75" s="166" t="s">
        <v>1002</v>
      </c>
      <c r="C75" s="166" t="s">
        <v>11</v>
      </c>
      <c r="D75" s="264" t="s">
        <v>1003</v>
      </c>
      <c r="E75" s="232" t="s">
        <v>1407</v>
      </c>
      <c r="F75" s="553" t="s">
        <v>1372</v>
      </c>
      <c r="G75" s="903">
        <f t="shared" si="7"/>
        <v>51082100</v>
      </c>
      <c r="H75" s="599">
        <f>28054700+14027400</f>
        <v>42082100</v>
      </c>
      <c r="I75" s="599">
        <v>9000000</v>
      </c>
      <c r="J75" s="599">
        <v>9000000</v>
      </c>
      <c r="K75" s="606">
        <f t="shared" si="1"/>
        <v>111164200</v>
      </c>
      <c r="L75" s="300">
        <f>G75-H75-I75</f>
        <v>0</v>
      </c>
      <c r="M75" s="300">
        <f>G75-I75-H75</f>
        <v>0</v>
      </c>
      <c r="R75" s="516" t="e">
        <f>#REF!+#REF!-#REF!</f>
        <v>#REF!</v>
      </c>
    </row>
    <row r="76" spans="1:18" ht="47.25" x14ac:dyDescent="0.2">
      <c r="A76" s="173" t="s">
        <v>368</v>
      </c>
      <c r="B76" s="173"/>
      <c r="C76" s="173"/>
      <c r="D76" s="394" t="s">
        <v>1575</v>
      </c>
      <c r="E76" s="198"/>
      <c r="F76" s="345"/>
      <c r="G76" s="1028">
        <f>G77</f>
        <v>18747500</v>
      </c>
      <c r="H76" s="1028">
        <f>H77</f>
        <v>18747500</v>
      </c>
      <c r="I76" s="1028">
        <f>I77</f>
        <v>0</v>
      </c>
      <c r="J76" s="1028">
        <f>J77</f>
        <v>0</v>
      </c>
      <c r="K76" s="606">
        <f t="shared" si="1"/>
        <v>37495000</v>
      </c>
      <c r="L76" s="300"/>
      <c r="M76" s="300"/>
      <c r="R76" s="516">
        <f>I77+H77-G77</f>
        <v>0</v>
      </c>
    </row>
    <row r="77" spans="1:18" s="185" customFormat="1" ht="47.25" x14ac:dyDescent="0.2">
      <c r="A77" s="173" t="s">
        <v>369</v>
      </c>
      <c r="B77" s="173"/>
      <c r="C77" s="173"/>
      <c r="D77" s="394" t="s">
        <v>1575</v>
      </c>
      <c r="E77" s="198"/>
      <c r="F77" s="345"/>
      <c r="G77" s="1028">
        <f>SUM(G78:G102)</f>
        <v>18747500</v>
      </c>
      <c r="H77" s="1028">
        <f>SUM(H78:H102)</f>
        <v>18747500</v>
      </c>
      <c r="I77" s="1028">
        <f>SUM(I78:I102)</f>
        <v>0</v>
      </c>
      <c r="J77" s="1028">
        <f>SUM(J78:J102)</f>
        <v>0</v>
      </c>
      <c r="K77" s="606">
        <f t="shared" si="1"/>
        <v>37495000</v>
      </c>
      <c r="R77" s="516">
        <f>I78+H78-G78</f>
        <v>0</v>
      </c>
    </row>
    <row r="78" spans="1:18" s="185" customFormat="1" ht="47.25" hidden="1" x14ac:dyDescent="0.2">
      <c r="A78" s="44" t="s">
        <v>370</v>
      </c>
      <c r="B78" s="44" t="s">
        <v>131</v>
      </c>
      <c r="C78" s="44" t="s">
        <v>18</v>
      </c>
      <c r="D78" s="41" t="s">
        <v>132</v>
      </c>
      <c r="E78" s="213"/>
      <c r="F78" s="324"/>
      <c r="G78" s="443">
        <f t="shared" ref="G78:G102" si="8">H78+I78</f>
        <v>0</v>
      </c>
      <c r="H78" s="448"/>
      <c r="I78" s="448"/>
      <c r="J78" s="448"/>
      <c r="K78" s="606">
        <f t="shared" si="1"/>
        <v>0</v>
      </c>
    </row>
    <row r="79" spans="1:18" ht="31.5" hidden="1" x14ac:dyDescent="0.2">
      <c r="A79" s="44" t="s">
        <v>371</v>
      </c>
      <c r="B79" s="44" t="s">
        <v>133</v>
      </c>
      <c r="C79" s="44" t="s">
        <v>134</v>
      </c>
      <c r="D79" s="42" t="s">
        <v>188</v>
      </c>
      <c r="E79" s="210"/>
      <c r="F79" s="216"/>
      <c r="G79" s="443">
        <f t="shared" si="8"/>
        <v>0</v>
      </c>
      <c r="H79" s="445"/>
      <c r="I79" s="445"/>
      <c r="J79" s="445"/>
      <c r="K79" s="606">
        <f t="shared" si="1"/>
        <v>0</v>
      </c>
      <c r="M79" s="300">
        <f>G79-I79-H79</f>
        <v>0</v>
      </c>
    </row>
    <row r="80" spans="1:18" s="24" customFormat="1" ht="94.5" x14ac:dyDescent="0.2">
      <c r="A80" s="44" t="s">
        <v>701</v>
      </c>
      <c r="B80" s="44" t="s">
        <v>258</v>
      </c>
      <c r="C80" s="452" t="s">
        <v>15</v>
      </c>
      <c r="D80" s="197" t="s">
        <v>971</v>
      </c>
      <c r="E80" s="210" t="s">
        <v>760</v>
      </c>
      <c r="F80" s="216" t="s">
        <v>761</v>
      </c>
      <c r="G80" s="903">
        <f t="shared" si="8"/>
        <v>1560700</v>
      </c>
      <c r="H80" s="903">
        <v>1560700</v>
      </c>
      <c r="I80" s="903"/>
      <c r="J80" s="903"/>
      <c r="K80" s="606">
        <f t="shared" si="1"/>
        <v>3121400</v>
      </c>
    </row>
    <row r="81" spans="1:18" ht="45" x14ac:dyDescent="0.2">
      <c r="A81" s="1902" t="s">
        <v>703</v>
      </c>
      <c r="B81" s="1902" t="s">
        <v>420</v>
      </c>
      <c r="C81" s="1902" t="s">
        <v>15</v>
      </c>
      <c r="D81" s="1911" t="s">
        <v>234</v>
      </c>
      <c r="E81" s="1159" t="s">
        <v>1381</v>
      </c>
      <c r="F81" s="553" t="s">
        <v>1378</v>
      </c>
      <c r="G81" s="903">
        <f>H81+I81</f>
        <v>16100</v>
      </c>
      <c r="H81" s="466">
        <v>16100</v>
      </c>
      <c r="I81" s="599"/>
      <c r="J81" s="599"/>
      <c r="K81" s="606">
        <f t="shared" si="1"/>
        <v>32200</v>
      </c>
      <c r="M81" s="300">
        <f>G81-I81-H81</f>
        <v>0</v>
      </c>
    </row>
    <row r="82" spans="1:18" s="24" customFormat="1" ht="47.25" x14ac:dyDescent="0.2">
      <c r="A82" s="1904"/>
      <c r="B82" s="1904"/>
      <c r="C82" s="1904"/>
      <c r="D82" s="1912"/>
      <c r="E82" s="1159" t="s">
        <v>1382</v>
      </c>
      <c r="F82" s="553" t="s">
        <v>1379</v>
      </c>
      <c r="G82" s="903">
        <f>H82+I82</f>
        <v>100300</v>
      </c>
      <c r="H82" s="466">
        <v>100300</v>
      </c>
      <c r="I82" s="599"/>
      <c r="J82" s="599"/>
      <c r="K82" s="606">
        <f t="shared" si="1"/>
        <v>200600</v>
      </c>
    </row>
    <row r="83" spans="1:18" s="24" customFormat="1" ht="45" x14ac:dyDescent="0.2">
      <c r="A83" s="44" t="s">
        <v>704</v>
      </c>
      <c r="B83" s="44" t="s">
        <v>421</v>
      </c>
      <c r="C83" s="44" t="s">
        <v>15</v>
      </c>
      <c r="D83" s="197" t="s">
        <v>147</v>
      </c>
      <c r="E83" s="1159" t="s">
        <v>1381</v>
      </c>
      <c r="F83" s="553" t="s">
        <v>1378</v>
      </c>
      <c r="G83" s="903">
        <f>H83+I83</f>
        <v>280000</v>
      </c>
      <c r="H83" s="599">
        <f>400000-120000</f>
        <v>280000</v>
      </c>
      <c r="I83" s="599"/>
      <c r="J83" s="599"/>
      <c r="K83" s="606">
        <f t="shared" ref="K83:K147" si="9">SUM(G83:J83)</f>
        <v>560000</v>
      </c>
    </row>
    <row r="84" spans="1:18" s="24" customFormat="1" ht="78.75" hidden="1" x14ac:dyDescent="0.2">
      <c r="A84" s="549" t="s">
        <v>732</v>
      </c>
      <c r="B84" s="549" t="s">
        <v>261</v>
      </c>
      <c r="C84" s="549" t="s">
        <v>15</v>
      </c>
      <c r="D84" s="550" t="s">
        <v>731</v>
      </c>
      <c r="E84" s="210"/>
      <c r="F84" s="216"/>
      <c r="G84" s="443">
        <f t="shared" si="8"/>
        <v>0</v>
      </c>
      <c r="H84" s="445"/>
      <c r="I84" s="445"/>
      <c r="J84" s="445"/>
      <c r="K84" s="606">
        <f t="shared" si="9"/>
        <v>0</v>
      </c>
    </row>
    <row r="85" spans="1:18" s="24" customFormat="1" ht="78.75" hidden="1" x14ac:dyDescent="0.2">
      <c r="A85" s="44" t="s">
        <v>653</v>
      </c>
      <c r="B85" s="44" t="s">
        <v>461</v>
      </c>
      <c r="C85" s="44" t="s">
        <v>134</v>
      </c>
      <c r="D85" s="42" t="s">
        <v>683</v>
      </c>
      <c r="E85" s="42" t="s">
        <v>654</v>
      </c>
      <c r="F85" s="451" t="s">
        <v>758</v>
      </c>
      <c r="G85" s="443">
        <f t="shared" si="8"/>
        <v>0</v>
      </c>
      <c r="H85" s="445"/>
      <c r="I85" s="445"/>
      <c r="J85" s="445"/>
      <c r="K85" s="606">
        <f t="shared" si="9"/>
        <v>0</v>
      </c>
    </row>
    <row r="86" spans="1:18" s="24" customFormat="1" ht="63" hidden="1" x14ac:dyDescent="0.2">
      <c r="A86" s="181" t="s">
        <v>372</v>
      </c>
      <c r="B86" s="181" t="s">
        <v>135</v>
      </c>
      <c r="C86" s="181" t="s">
        <v>136</v>
      </c>
      <c r="D86" s="50" t="s">
        <v>137</v>
      </c>
      <c r="E86" s="207"/>
      <c r="F86" s="215"/>
      <c r="G86" s="443">
        <f t="shared" si="8"/>
        <v>0</v>
      </c>
      <c r="H86" s="444"/>
      <c r="I86" s="444"/>
      <c r="J86" s="444"/>
      <c r="K86" s="606">
        <f t="shared" si="9"/>
        <v>0</v>
      </c>
    </row>
    <row r="87" spans="1:18" ht="126" hidden="1" x14ac:dyDescent="0.2">
      <c r="A87" s="181" t="s">
        <v>373</v>
      </c>
      <c r="B87" s="181" t="s">
        <v>138</v>
      </c>
      <c r="C87" s="181" t="s">
        <v>139</v>
      </c>
      <c r="D87" s="50" t="s">
        <v>83</v>
      </c>
      <c r="E87" s="207"/>
      <c r="F87" s="215"/>
      <c r="G87" s="443">
        <f t="shared" si="8"/>
        <v>0</v>
      </c>
      <c r="H87" s="444"/>
      <c r="I87" s="444"/>
      <c r="J87" s="444"/>
      <c r="K87" s="606">
        <f t="shared" si="9"/>
        <v>0</v>
      </c>
      <c r="L87" s="300">
        <f>G87-H87-I87</f>
        <v>0</v>
      </c>
      <c r="M87" s="300">
        <f>G87-I87-H87</f>
        <v>0</v>
      </c>
      <c r="R87" s="516">
        <f>I88+H88-G88</f>
        <v>0</v>
      </c>
    </row>
    <row r="88" spans="1:18" ht="31.5" hidden="1" x14ac:dyDescent="0.2">
      <c r="A88" s="181" t="s">
        <v>374</v>
      </c>
      <c r="B88" s="181" t="s">
        <v>140</v>
      </c>
      <c r="C88" s="181" t="s">
        <v>136</v>
      </c>
      <c r="D88" s="50" t="s">
        <v>627</v>
      </c>
      <c r="E88" s="209"/>
      <c r="F88" s="249"/>
      <c r="G88" s="443">
        <f t="shared" si="8"/>
        <v>0</v>
      </c>
      <c r="H88" s="447"/>
      <c r="I88" s="447"/>
      <c r="J88" s="447"/>
      <c r="K88" s="606">
        <f t="shared" si="9"/>
        <v>0</v>
      </c>
      <c r="L88" s="300">
        <f>G88-H88-I88</f>
        <v>0</v>
      </c>
      <c r="M88" s="300">
        <f>G88-I88-H88</f>
        <v>0</v>
      </c>
      <c r="R88" s="516">
        <f>I89+H89-G89</f>
        <v>0</v>
      </c>
    </row>
    <row r="89" spans="1:18" ht="31.5" hidden="1" x14ac:dyDescent="0.2">
      <c r="A89" s="181" t="s">
        <v>375</v>
      </c>
      <c r="B89" s="181" t="s">
        <v>141</v>
      </c>
      <c r="C89" s="181" t="s">
        <v>136</v>
      </c>
      <c r="D89" s="50" t="s">
        <v>376</v>
      </c>
      <c r="E89" s="209"/>
      <c r="F89" s="249"/>
      <c r="G89" s="443">
        <f t="shared" si="8"/>
        <v>0</v>
      </c>
      <c r="H89" s="447"/>
      <c r="I89" s="447"/>
      <c r="J89" s="447"/>
      <c r="K89" s="606">
        <f t="shared" si="9"/>
        <v>0</v>
      </c>
    </row>
    <row r="90" spans="1:18" ht="110.25" hidden="1" x14ac:dyDescent="0.2">
      <c r="A90" s="44" t="s">
        <v>377</v>
      </c>
      <c r="B90" s="44" t="s">
        <v>262</v>
      </c>
      <c r="C90" s="44"/>
      <c r="D90" s="41" t="s">
        <v>378</v>
      </c>
      <c r="E90" s="209"/>
      <c r="F90" s="249"/>
      <c r="G90" s="443">
        <f t="shared" si="8"/>
        <v>0</v>
      </c>
      <c r="H90" s="447"/>
      <c r="I90" s="447"/>
      <c r="J90" s="447"/>
      <c r="K90" s="606">
        <f t="shared" si="9"/>
        <v>0</v>
      </c>
    </row>
    <row r="91" spans="1:18" ht="78.75" hidden="1" x14ac:dyDescent="0.2">
      <c r="A91" s="181" t="s">
        <v>379</v>
      </c>
      <c r="B91" s="181" t="s">
        <v>380</v>
      </c>
      <c r="C91" s="181" t="s">
        <v>136</v>
      </c>
      <c r="D91" s="50" t="s">
        <v>381</v>
      </c>
      <c r="E91" s="209"/>
      <c r="F91" s="249"/>
      <c r="G91" s="443">
        <f t="shared" si="8"/>
        <v>0</v>
      </c>
      <c r="H91" s="447"/>
      <c r="I91" s="447"/>
      <c r="J91" s="447"/>
      <c r="K91" s="606">
        <f t="shared" si="9"/>
        <v>0</v>
      </c>
    </row>
    <row r="92" spans="1:18" ht="31.5" hidden="1" x14ac:dyDescent="0.2">
      <c r="A92" s="181" t="s">
        <v>382</v>
      </c>
      <c r="B92" s="181" t="s">
        <v>383</v>
      </c>
      <c r="C92" s="181" t="s">
        <v>136</v>
      </c>
      <c r="D92" s="50" t="s">
        <v>34</v>
      </c>
      <c r="E92" s="209"/>
      <c r="F92" s="249"/>
      <c r="G92" s="443">
        <f t="shared" si="8"/>
        <v>0</v>
      </c>
      <c r="H92" s="447"/>
      <c r="I92" s="447"/>
      <c r="J92" s="447"/>
      <c r="K92" s="606">
        <f t="shared" si="9"/>
        <v>0</v>
      </c>
      <c r="L92" s="300">
        <f>G92-H92-I92</f>
        <v>0</v>
      </c>
      <c r="M92" s="300">
        <f>G92-I92-H92</f>
        <v>0</v>
      </c>
      <c r="R92" s="516">
        <f>I93+H93-G93</f>
        <v>0</v>
      </c>
    </row>
    <row r="93" spans="1:18" ht="47.25" hidden="1" x14ac:dyDescent="0.2">
      <c r="A93" s="44" t="s">
        <v>384</v>
      </c>
      <c r="B93" s="44" t="s">
        <v>125</v>
      </c>
      <c r="C93" s="44" t="s">
        <v>9</v>
      </c>
      <c r="D93" s="41" t="s">
        <v>142</v>
      </c>
      <c r="E93" s="210"/>
      <c r="F93" s="216"/>
      <c r="G93" s="443">
        <f t="shared" si="8"/>
        <v>0</v>
      </c>
      <c r="H93" s="445"/>
      <c r="I93" s="445"/>
      <c r="J93" s="445"/>
      <c r="K93" s="606">
        <f t="shared" si="9"/>
        <v>0</v>
      </c>
      <c r="L93" s="300">
        <f>G93-H93-I93</f>
        <v>0</v>
      </c>
      <c r="M93" s="300">
        <f>G93-I93-H93</f>
        <v>0</v>
      </c>
      <c r="R93" s="516">
        <f>I94+H94-G94</f>
        <v>0</v>
      </c>
    </row>
    <row r="94" spans="1:18" ht="267.75" hidden="1" x14ac:dyDescent="0.2">
      <c r="A94" s="181" t="s">
        <v>389</v>
      </c>
      <c r="B94" s="181" t="s">
        <v>390</v>
      </c>
      <c r="C94" s="181" t="s">
        <v>56</v>
      </c>
      <c r="D94" s="50" t="s">
        <v>391</v>
      </c>
      <c r="E94" s="52"/>
      <c r="F94" s="343"/>
      <c r="G94" s="443">
        <f t="shared" si="8"/>
        <v>0</v>
      </c>
      <c r="H94" s="444"/>
      <c r="I94" s="444"/>
      <c r="J94" s="444"/>
      <c r="K94" s="606">
        <f t="shared" si="9"/>
        <v>0</v>
      </c>
      <c r="L94" s="300">
        <f>G94-H94-I94</f>
        <v>0</v>
      </c>
      <c r="M94" s="300">
        <f>G94-I94-H94</f>
        <v>0</v>
      </c>
      <c r="R94" s="516">
        <f>I95+H95-G95</f>
        <v>0</v>
      </c>
    </row>
    <row r="95" spans="1:18" ht="47.25" hidden="1" x14ac:dyDescent="0.2">
      <c r="A95" s="181" t="s">
        <v>386</v>
      </c>
      <c r="B95" s="181" t="s">
        <v>387</v>
      </c>
      <c r="C95" s="181">
        <v>1090</v>
      </c>
      <c r="D95" s="50" t="s">
        <v>388</v>
      </c>
      <c r="E95" s="210"/>
      <c r="F95" s="216"/>
      <c r="G95" s="443">
        <f t="shared" si="8"/>
        <v>0</v>
      </c>
      <c r="H95" s="445"/>
      <c r="I95" s="445"/>
      <c r="J95" s="445"/>
      <c r="K95" s="606">
        <f t="shared" si="9"/>
        <v>0</v>
      </c>
      <c r="L95" s="300">
        <f>G95-H95-I95</f>
        <v>0</v>
      </c>
      <c r="M95" s="300">
        <f>G95-I95-H95</f>
        <v>0</v>
      </c>
    </row>
    <row r="96" spans="1:18" ht="45" hidden="1" x14ac:dyDescent="0.2">
      <c r="A96" s="1902" t="s">
        <v>385</v>
      </c>
      <c r="B96" s="1902">
        <v>3242</v>
      </c>
      <c r="C96" s="1902">
        <v>1090</v>
      </c>
      <c r="D96" s="1907" t="s">
        <v>290</v>
      </c>
      <c r="E96" s="797" t="s">
        <v>1383</v>
      </c>
      <c r="F96" s="546" t="s">
        <v>1368</v>
      </c>
      <c r="G96" s="889">
        <f t="shared" si="8"/>
        <v>0</v>
      </c>
      <c r="H96" s="890"/>
      <c r="I96" s="890"/>
      <c r="J96" s="890"/>
      <c r="K96" s="606">
        <f t="shared" si="9"/>
        <v>0</v>
      </c>
      <c r="L96" s="300"/>
      <c r="M96" s="300"/>
    </row>
    <row r="97" spans="1:18" ht="75" customHeight="1" x14ac:dyDescent="0.2">
      <c r="A97" s="1903"/>
      <c r="B97" s="1903"/>
      <c r="C97" s="1903"/>
      <c r="D97" s="1908"/>
      <c r="E97" s="797" t="s">
        <v>1409</v>
      </c>
      <c r="F97" s="553" t="s">
        <v>1380</v>
      </c>
      <c r="G97" s="903">
        <f t="shared" si="8"/>
        <v>5640000</v>
      </c>
      <c r="H97" s="599">
        <f>5760000-120000</f>
        <v>5640000</v>
      </c>
      <c r="I97" s="599"/>
      <c r="J97" s="599"/>
      <c r="K97" s="606">
        <f t="shared" si="9"/>
        <v>11280000</v>
      </c>
      <c r="L97" s="300">
        <f>G97-H97-I97</f>
        <v>0</v>
      </c>
      <c r="M97" s="300">
        <f>G97-I97-H97</f>
        <v>0</v>
      </c>
      <c r="R97" s="516">
        <f>I98+H98-G98</f>
        <v>0</v>
      </c>
    </row>
    <row r="98" spans="1:18" s="24" customFormat="1" ht="94.5" x14ac:dyDescent="0.2">
      <c r="A98" s="1904"/>
      <c r="B98" s="1904"/>
      <c r="C98" s="1904"/>
      <c r="D98" s="1909"/>
      <c r="E98" s="1160" t="s">
        <v>757</v>
      </c>
      <c r="F98" s="1161" t="s">
        <v>758</v>
      </c>
      <c r="G98" s="903">
        <f t="shared" si="8"/>
        <v>2530400</v>
      </c>
      <c r="H98" s="599">
        <v>2530400</v>
      </c>
      <c r="I98" s="599"/>
      <c r="J98" s="599"/>
      <c r="K98" s="606">
        <f t="shared" si="9"/>
        <v>5060800</v>
      </c>
    </row>
    <row r="99" spans="1:18" s="24" customFormat="1" ht="63" hidden="1" x14ac:dyDescent="0.2">
      <c r="A99" s="44" t="s">
        <v>392</v>
      </c>
      <c r="B99" s="44" t="s">
        <v>299</v>
      </c>
      <c r="C99" s="44" t="s">
        <v>11</v>
      </c>
      <c r="D99" s="34" t="s">
        <v>393</v>
      </c>
      <c r="E99" s="53"/>
      <c r="F99" s="77"/>
      <c r="G99" s="443">
        <f t="shared" si="8"/>
        <v>0</v>
      </c>
      <c r="H99" s="445"/>
      <c r="I99" s="445"/>
      <c r="J99" s="445"/>
      <c r="K99" s="606">
        <f t="shared" si="9"/>
        <v>0</v>
      </c>
    </row>
    <row r="100" spans="1:18" s="24" customFormat="1" ht="47.25" x14ac:dyDescent="0.2">
      <c r="A100" s="1902" t="s">
        <v>575</v>
      </c>
      <c r="B100" s="1902" t="s">
        <v>304</v>
      </c>
      <c r="C100" s="1902" t="s">
        <v>11</v>
      </c>
      <c r="D100" s="1723" t="s">
        <v>364</v>
      </c>
      <c r="E100" s="210" t="s">
        <v>1429</v>
      </c>
      <c r="F100" s="216" t="s">
        <v>1430</v>
      </c>
      <c r="G100" s="903">
        <f t="shared" si="8"/>
        <v>1500000</v>
      </c>
      <c r="H100" s="599">
        <v>1500000</v>
      </c>
      <c r="I100" s="599"/>
      <c r="J100" s="599"/>
      <c r="K100" s="606">
        <f t="shared" si="9"/>
        <v>3000000</v>
      </c>
    </row>
    <row r="101" spans="1:18" s="24" customFormat="1" ht="53.25" customHeight="1" x14ac:dyDescent="0.2">
      <c r="A101" s="1903"/>
      <c r="B101" s="1903"/>
      <c r="C101" s="1903"/>
      <c r="D101" s="1724"/>
      <c r="E101" s="210" t="s">
        <v>635</v>
      </c>
      <c r="F101" s="216" t="s">
        <v>778</v>
      </c>
      <c r="G101" s="903">
        <f t="shared" si="8"/>
        <v>7000000</v>
      </c>
      <c r="H101" s="599">
        <v>7000000</v>
      </c>
      <c r="I101" s="599"/>
      <c r="J101" s="599"/>
      <c r="K101" s="606">
        <f t="shared" si="9"/>
        <v>14000000</v>
      </c>
    </row>
    <row r="102" spans="1:18" s="24" customFormat="1" ht="87.6" customHeight="1" x14ac:dyDescent="0.2">
      <c r="A102" s="1904"/>
      <c r="B102" s="1904"/>
      <c r="C102" s="1904"/>
      <c r="D102" s="1725"/>
      <c r="E102" s="797" t="s">
        <v>1409</v>
      </c>
      <c r="F102" s="553" t="s">
        <v>1380</v>
      </c>
      <c r="G102" s="903">
        <f t="shared" si="8"/>
        <v>120000</v>
      </c>
      <c r="H102" s="599">
        <v>120000</v>
      </c>
      <c r="I102" s="599"/>
      <c r="J102" s="599"/>
      <c r="K102" s="606"/>
    </row>
    <row r="103" spans="1:18" s="24" customFormat="1" ht="31.5" x14ac:dyDescent="0.2">
      <c r="A103" s="173" t="s">
        <v>394</v>
      </c>
      <c r="B103" s="173"/>
      <c r="C103" s="173"/>
      <c r="D103" s="1154" t="s">
        <v>1415</v>
      </c>
      <c r="E103" s="198"/>
      <c r="F103" s="345"/>
      <c r="G103" s="1028">
        <f>G104</f>
        <v>836880</v>
      </c>
      <c r="H103" s="1028">
        <f>H104</f>
        <v>336880</v>
      </c>
      <c r="I103" s="1028">
        <f>I104</f>
        <v>500000</v>
      </c>
      <c r="J103" s="1028">
        <f>J104</f>
        <v>500000</v>
      </c>
      <c r="K103" s="606">
        <f t="shared" si="9"/>
        <v>2173760</v>
      </c>
    </row>
    <row r="104" spans="1:18" s="24" customFormat="1" ht="31.5" x14ac:dyDescent="0.2">
      <c r="A104" s="173" t="s">
        <v>395</v>
      </c>
      <c r="B104" s="173"/>
      <c r="C104" s="173"/>
      <c r="D104" s="1154" t="s">
        <v>1415</v>
      </c>
      <c r="E104" s="198"/>
      <c r="F104" s="345"/>
      <c r="G104" s="1028">
        <f>SUM(G105:G109)</f>
        <v>836880</v>
      </c>
      <c r="H104" s="1028">
        <f>SUM(H105:H109)</f>
        <v>336880</v>
      </c>
      <c r="I104" s="1028">
        <f>SUM(I105:I109)</f>
        <v>500000</v>
      </c>
      <c r="J104" s="1028">
        <f>SUM(J105:J109)</f>
        <v>500000</v>
      </c>
      <c r="K104" s="606">
        <f t="shared" si="9"/>
        <v>2173760</v>
      </c>
    </row>
    <row r="105" spans="1:18" s="24" customFormat="1" ht="63" hidden="1" x14ac:dyDescent="0.25">
      <c r="A105" s="181" t="s">
        <v>396</v>
      </c>
      <c r="B105" s="181" t="s">
        <v>258</v>
      </c>
      <c r="C105" s="183" t="s">
        <v>15</v>
      </c>
      <c r="D105" s="184" t="s">
        <v>65</v>
      </c>
      <c r="E105" s="210" t="s">
        <v>760</v>
      </c>
      <c r="F105" s="216" t="s">
        <v>761</v>
      </c>
      <c r="G105" s="592">
        <f>H105+I105</f>
        <v>0</v>
      </c>
      <c r="H105" s="445"/>
      <c r="I105" s="445"/>
      <c r="J105" s="445"/>
      <c r="K105" s="606">
        <f t="shared" si="9"/>
        <v>0</v>
      </c>
    </row>
    <row r="106" spans="1:18" s="24" customFormat="1" ht="63" x14ac:dyDescent="0.2">
      <c r="A106" s="44" t="s">
        <v>397</v>
      </c>
      <c r="B106" s="44" t="s">
        <v>143</v>
      </c>
      <c r="C106" s="452" t="s">
        <v>15</v>
      </c>
      <c r="D106" s="197" t="s">
        <v>5</v>
      </c>
      <c r="E106" s="210" t="s">
        <v>759</v>
      </c>
      <c r="F106" s="344" t="s">
        <v>788</v>
      </c>
      <c r="G106" s="903">
        <f>H106+I106</f>
        <v>212600</v>
      </c>
      <c r="H106" s="599">
        <v>212600</v>
      </c>
      <c r="I106" s="599"/>
      <c r="J106" s="599"/>
      <c r="K106" s="606">
        <f t="shared" si="9"/>
        <v>425200</v>
      </c>
      <c r="L106" s="24" t="s">
        <v>1031</v>
      </c>
    </row>
    <row r="107" spans="1:18" s="28" customFormat="1" ht="63" x14ac:dyDescent="0.2">
      <c r="A107" s="44" t="s">
        <v>398</v>
      </c>
      <c r="B107" s="44" t="s">
        <v>259</v>
      </c>
      <c r="C107" s="44" t="s">
        <v>15</v>
      </c>
      <c r="D107" s="197" t="s">
        <v>171</v>
      </c>
      <c r="E107" s="210" t="s">
        <v>759</v>
      </c>
      <c r="F107" s="344" t="s">
        <v>788</v>
      </c>
      <c r="G107" s="903">
        <f>H107+I107</f>
        <v>124280</v>
      </c>
      <c r="H107" s="599">
        <f>166600-42320</f>
        <v>124280</v>
      </c>
      <c r="I107" s="599"/>
      <c r="J107" s="599"/>
      <c r="K107" s="606">
        <f t="shared" si="9"/>
        <v>248560</v>
      </c>
    </row>
    <row r="108" spans="1:18" s="24" customFormat="1" ht="126" hidden="1" x14ac:dyDescent="0.2">
      <c r="A108" s="181" t="s">
        <v>576</v>
      </c>
      <c r="B108" s="181" t="s">
        <v>577</v>
      </c>
      <c r="C108" s="181" t="s">
        <v>11</v>
      </c>
      <c r="D108" s="50" t="s">
        <v>578</v>
      </c>
      <c r="E108" s="209"/>
      <c r="F108" s="249"/>
      <c r="G108" s="443">
        <f>H108+I108</f>
        <v>0</v>
      </c>
      <c r="H108" s="447"/>
      <c r="I108" s="447"/>
      <c r="J108" s="447"/>
      <c r="K108" s="606">
        <f t="shared" si="9"/>
        <v>0</v>
      </c>
    </row>
    <row r="109" spans="1:18" ht="63" x14ac:dyDescent="0.2">
      <c r="A109" s="44" t="s">
        <v>399</v>
      </c>
      <c r="B109" s="44" t="s">
        <v>304</v>
      </c>
      <c r="C109" s="44" t="s">
        <v>11</v>
      </c>
      <c r="D109" s="197" t="s">
        <v>305</v>
      </c>
      <c r="E109" s="210" t="s">
        <v>760</v>
      </c>
      <c r="F109" s="216" t="s">
        <v>761</v>
      </c>
      <c r="G109" s="903">
        <f>H109+I109</f>
        <v>500000</v>
      </c>
      <c r="H109" s="599"/>
      <c r="I109" s="599">
        <v>500000</v>
      </c>
      <c r="J109" s="599">
        <v>500000</v>
      </c>
      <c r="K109" s="606">
        <f t="shared" si="9"/>
        <v>1500000</v>
      </c>
      <c r="L109" s="300" t="s">
        <v>1006</v>
      </c>
      <c r="M109" s="300">
        <f>G109-I109-H109</f>
        <v>0</v>
      </c>
      <c r="R109" s="516">
        <f>I110+H110-G110</f>
        <v>0</v>
      </c>
    </row>
    <row r="110" spans="1:18" ht="47.25" x14ac:dyDescent="0.2">
      <c r="A110" s="173" t="s">
        <v>206</v>
      </c>
      <c r="B110" s="173"/>
      <c r="C110" s="173"/>
      <c r="D110" s="1162" t="s">
        <v>885</v>
      </c>
      <c r="E110" s="198"/>
      <c r="F110" s="345"/>
      <c r="G110" s="1028">
        <f>G111</f>
        <v>104283103</v>
      </c>
      <c r="H110" s="1028">
        <f>H111</f>
        <v>103639900</v>
      </c>
      <c r="I110" s="1028">
        <f>I111</f>
        <v>643203</v>
      </c>
      <c r="J110" s="1028">
        <f>J111</f>
        <v>0</v>
      </c>
      <c r="K110" s="606">
        <f t="shared" si="9"/>
        <v>208566206</v>
      </c>
      <c r="L110" s="300">
        <f>G110-H110-I110</f>
        <v>0</v>
      </c>
      <c r="M110" s="300">
        <f>G110-I110-H110</f>
        <v>0</v>
      </c>
      <c r="R110" s="516">
        <f>I111+H111-G111</f>
        <v>0</v>
      </c>
    </row>
    <row r="111" spans="1:18" s="24" customFormat="1" ht="47.25" x14ac:dyDescent="0.2">
      <c r="A111" s="173" t="s">
        <v>207</v>
      </c>
      <c r="B111" s="173"/>
      <c r="C111" s="173"/>
      <c r="D111" s="1162" t="s">
        <v>885</v>
      </c>
      <c r="E111" s="198"/>
      <c r="F111" s="345"/>
      <c r="G111" s="1028">
        <f>SUM(G112:G153)</f>
        <v>104283103</v>
      </c>
      <c r="H111" s="1028">
        <f>SUM(H112:H153)</f>
        <v>103639900</v>
      </c>
      <c r="I111" s="1028">
        <f>SUM(I112:I153)</f>
        <v>643203</v>
      </c>
      <c r="J111" s="1028">
        <f>SUM(J112:J153)</f>
        <v>0</v>
      </c>
      <c r="K111" s="606">
        <f t="shared" si="9"/>
        <v>208566206</v>
      </c>
    </row>
    <row r="112" spans="1:18" s="24" customFormat="1" ht="47.25" hidden="1" x14ac:dyDescent="0.2">
      <c r="A112" s="44" t="s">
        <v>180</v>
      </c>
      <c r="B112" s="44" t="s">
        <v>23</v>
      </c>
      <c r="C112" s="44" t="s">
        <v>24</v>
      </c>
      <c r="D112" s="42" t="s">
        <v>319</v>
      </c>
      <c r="E112" s="210"/>
      <c r="F112" s="216"/>
      <c r="G112" s="443">
        <f>H112+I112</f>
        <v>0</v>
      </c>
      <c r="H112" s="445"/>
      <c r="I112" s="445"/>
      <c r="J112" s="445"/>
      <c r="K112" s="606">
        <f t="shared" si="9"/>
        <v>0</v>
      </c>
      <c r="R112" s="516">
        <f>I113+H113-G113</f>
        <v>0</v>
      </c>
    </row>
    <row r="113" spans="1:18" ht="31.5" hidden="1" x14ac:dyDescent="0.2">
      <c r="A113" s="44" t="s">
        <v>270</v>
      </c>
      <c r="B113" s="44" t="s">
        <v>12</v>
      </c>
      <c r="C113" s="44" t="s">
        <v>13</v>
      </c>
      <c r="D113" s="42" t="s">
        <v>306</v>
      </c>
      <c r="E113" s="210"/>
      <c r="F113" s="216"/>
      <c r="G113" s="443">
        <f>H113+I113</f>
        <v>0</v>
      </c>
      <c r="H113" s="445"/>
      <c r="I113" s="445"/>
      <c r="J113" s="445"/>
      <c r="K113" s="606">
        <f t="shared" si="9"/>
        <v>0</v>
      </c>
      <c r="L113" s="300">
        <f>G113-H113-I113</f>
        <v>0</v>
      </c>
      <c r="M113" s="300">
        <f>G113-I113-H113</f>
        <v>0</v>
      </c>
      <c r="R113" s="516">
        <f>I114+H114-G114</f>
        <v>0</v>
      </c>
    </row>
    <row r="114" spans="1:18" ht="56.25" x14ac:dyDescent="0.2">
      <c r="A114" s="1902" t="s">
        <v>863</v>
      </c>
      <c r="B114" s="1902" t="s">
        <v>259</v>
      </c>
      <c r="C114" s="1902" t="s">
        <v>15</v>
      </c>
      <c r="D114" s="1910" t="s">
        <v>171</v>
      </c>
      <c r="E114" s="1163" t="s">
        <v>1384</v>
      </c>
      <c r="F114" s="216" t="s">
        <v>1377</v>
      </c>
      <c r="G114" s="903">
        <f>H114+I114</f>
        <v>400000</v>
      </c>
      <c r="H114" s="599">
        <v>400000</v>
      </c>
      <c r="I114" s="599"/>
      <c r="J114" s="599"/>
      <c r="K114" s="606">
        <f t="shared" si="9"/>
        <v>800000</v>
      </c>
      <c r="L114" s="300">
        <f>G114-H114-I114</f>
        <v>0</v>
      </c>
      <c r="M114" s="300">
        <f>G114-I114-H114</f>
        <v>0</v>
      </c>
      <c r="R114" s="516">
        <f>I115+H115-G115</f>
        <v>0</v>
      </c>
    </row>
    <row r="115" spans="1:18" ht="63" x14ac:dyDescent="0.2">
      <c r="A115" s="1904"/>
      <c r="B115" s="1904"/>
      <c r="C115" s="1904"/>
      <c r="D115" s="1909"/>
      <c r="E115" s="798" t="s">
        <v>1408</v>
      </c>
      <c r="F115" s="216" t="s">
        <v>764</v>
      </c>
      <c r="G115" s="903">
        <f>H115+I115</f>
        <v>262600</v>
      </c>
      <c r="H115" s="599">
        <v>262600</v>
      </c>
      <c r="I115" s="599"/>
      <c r="J115" s="599"/>
      <c r="K115" s="606">
        <f t="shared" si="9"/>
        <v>525200</v>
      </c>
      <c r="L115" s="300">
        <f>G115-H115-I115</f>
        <v>0</v>
      </c>
      <c r="M115" s="300">
        <f>G115-I115-H115</f>
        <v>0</v>
      </c>
      <c r="R115" s="516">
        <f>I116+H116-G116</f>
        <v>0</v>
      </c>
    </row>
    <row r="116" spans="1:18" s="24" customFormat="1" ht="56.25" x14ac:dyDescent="0.2">
      <c r="A116" s="44" t="s">
        <v>864</v>
      </c>
      <c r="B116" s="44" t="s">
        <v>260</v>
      </c>
      <c r="C116" s="44" t="s">
        <v>15</v>
      </c>
      <c r="D116" s="197" t="s">
        <v>588</v>
      </c>
      <c r="E116" s="1163" t="s">
        <v>1384</v>
      </c>
      <c r="F116" s="553" t="s">
        <v>1377</v>
      </c>
      <c r="G116" s="903">
        <f>H116+I116</f>
        <v>200000</v>
      </c>
      <c r="H116" s="599">
        <v>200000</v>
      </c>
      <c r="I116" s="599"/>
      <c r="J116" s="599"/>
      <c r="K116" s="606">
        <f t="shared" si="9"/>
        <v>400000</v>
      </c>
    </row>
    <row r="117" spans="1:18" ht="63" hidden="1" x14ac:dyDescent="0.2">
      <c r="A117" s="44" t="s">
        <v>400</v>
      </c>
      <c r="B117" s="44" t="s">
        <v>218</v>
      </c>
      <c r="C117" s="44" t="s">
        <v>221</v>
      </c>
      <c r="D117" s="42" t="s">
        <v>405</v>
      </c>
      <c r="E117" s="210"/>
      <c r="F117" s="216"/>
      <c r="G117" s="443">
        <f t="shared" ref="G117:G125" si="10">H117+I117</f>
        <v>0</v>
      </c>
      <c r="H117" s="445"/>
      <c r="I117" s="445"/>
      <c r="J117" s="445"/>
      <c r="K117" s="606">
        <f t="shared" si="9"/>
        <v>0</v>
      </c>
      <c r="L117" s="300">
        <f>G117-H117-I117</f>
        <v>0</v>
      </c>
      <c r="M117" s="300">
        <f>G117-I117-H117</f>
        <v>0</v>
      </c>
      <c r="R117" s="516">
        <f>I118+H118-G118</f>
        <v>0</v>
      </c>
    </row>
    <row r="118" spans="1:18" ht="15.75" hidden="1" x14ac:dyDescent="0.2">
      <c r="A118" s="44" t="s">
        <v>401</v>
      </c>
      <c r="B118" s="44" t="s">
        <v>220</v>
      </c>
      <c r="C118" s="44" t="s">
        <v>130</v>
      </c>
      <c r="D118" s="42" t="s">
        <v>353</v>
      </c>
      <c r="E118" s="210"/>
      <c r="F118" s="216"/>
      <c r="G118" s="443">
        <f t="shared" si="10"/>
        <v>0</v>
      </c>
      <c r="H118" s="445"/>
      <c r="I118" s="445"/>
      <c r="J118" s="445"/>
      <c r="K118" s="606">
        <f t="shared" si="9"/>
        <v>0</v>
      </c>
      <c r="L118" s="300">
        <f>G118-H118-I118</f>
        <v>0</v>
      </c>
      <c r="M118" s="300">
        <f>G118-I118-H118</f>
        <v>0</v>
      </c>
      <c r="R118" s="516">
        <f>I119+H119-G119</f>
        <v>0</v>
      </c>
    </row>
    <row r="119" spans="1:18" s="24" customFormat="1" ht="15.75" hidden="1" x14ac:dyDescent="0.2">
      <c r="A119" s="44" t="s">
        <v>406</v>
      </c>
      <c r="B119" s="44" t="s">
        <v>407</v>
      </c>
      <c r="C119" s="44" t="s">
        <v>130</v>
      </c>
      <c r="D119" s="42" t="s">
        <v>408</v>
      </c>
      <c r="E119" s="210"/>
      <c r="F119" s="216"/>
      <c r="G119" s="443">
        <f t="shared" si="10"/>
        <v>0</v>
      </c>
      <c r="H119" s="445"/>
      <c r="I119" s="445"/>
      <c r="J119" s="445"/>
      <c r="K119" s="606">
        <f t="shared" si="9"/>
        <v>0</v>
      </c>
    </row>
    <row r="120" spans="1:18" ht="47.25" hidden="1" x14ac:dyDescent="0.2">
      <c r="A120" s="181" t="s">
        <v>522</v>
      </c>
      <c r="B120" s="181" t="s">
        <v>523</v>
      </c>
      <c r="C120" s="181" t="s">
        <v>222</v>
      </c>
      <c r="D120" s="50" t="s">
        <v>524</v>
      </c>
      <c r="E120" s="209" t="s">
        <v>636</v>
      </c>
      <c r="F120" s="249"/>
      <c r="G120" s="443">
        <f t="shared" si="10"/>
        <v>0</v>
      </c>
      <c r="H120" s="444"/>
      <c r="I120" s="444"/>
      <c r="J120" s="444"/>
      <c r="K120" s="606">
        <f t="shared" si="9"/>
        <v>0</v>
      </c>
      <c r="L120" s="300">
        <f>G120-H120-I120</f>
        <v>0</v>
      </c>
      <c r="M120" s="300">
        <f>G120-I120-H120</f>
        <v>0</v>
      </c>
      <c r="R120" s="516">
        <f>I121+H121-G121</f>
        <v>0</v>
      </c>
    </row>
    <row r="121" spans="1:18" ht="45" x14ac:dyDescent="0.2">
      <c r="A121" s="44" t="s">
        <v>522</v>
      </c>
      <c r="B121" s="44" t="s">
        <v>523</v>
      </c>
      <c r="C121" s="44" t="s">
        <v>222</v>
      </c>
      <c r="D121" s="197" t="s">
        <v>524</v>
      </c>
      <c r="E121" s="265" t="s">
        <v>1385</v>
      </c>
      <c r="F121" s="553" t="s">
        <v>1375</v>
      </c>
      <c r="G121" s="903">
        <f t="shared" si="10"/>
        <v>1001200</v>
      </c>
      <c r="H121" s="903">
        <v>1001200</v>
      </c>
      <c r="I121" s="903"/>
      <c r="J121" s="903"/>
      <c r="K121" s="606">
        <f t="shared" si="9"/>
        <v>2002400</v>
      </c>
      <c r="L121" s="300">
        <f>G121-H121-I121</f>
        <v>0</v>
      </c>
      <c r="M121" s="300">
        <f>G121-I121-H121</f>
        <v>0</v>
      </c>
      <c r="R121" s="516">
        <f>I122+H122-G122</f>
        <v>0</v>
      </c>
    </row>
    <row r="122" spans="1:18" ht="45" x14ac:dyDescent="0.2">
      <c r="A122" s="1902" t="s">
        <v>579</v>
      </c>
      <c r="B122" s="1902" t="s">
        <v>580</v>
      </c>
      <c r="C122" s="1902" t="s">
        <v>222</v>
      </c>
      <c r="D122" s="1910" t="s">
        <v>615</v>
      </c>
      <c r="E122" s="265" t="s">
        <v>1177</v>
      </c>
      <c r="F122" s="553" t="s">
        <v>1368</v>
      </c>
      <c r="G122" s="903">
        <f t="shared" si="10"/>
        <v>278200</v>
      </c>
      <c r="H122" s="903">
        <v>278200</v>
      </c>
      <c r="I122" s="903"/>
      <c r="J122" s="903"/>
      <c r="K122" s="606">
        <f t="shared" si="9"/>
        <v>556400</v>
      </c>
      <c r="L122" s="300">
        <f>G122-H122-I122</f>
        <v>0</v>
      </c>
      <c r="M122" s="300">
        <f>G122-I122-H122</f>
        <v>0</v>
      </c>
      <c r="R122" s="516">
        <f>I123+H123-G123</f>
        <v>0</v>
      </c>
    </row>
    <row r="123" spans="1:18" s="24" customFormat="1" ht="47.25" x14ac:dyDescent="0.2">
      <c r="A123" s="1903"/>
      <c r="B123" s="1903"/>
      <c r="C123" s="1903"/>
      <c r="D123" s="1908"/>
      <c r="E123" s="210" t="s">
        <v>1386</v>
      </c>
      <c r="F123" s="553" t="s">
        <v>1376</v>
      </c>
      <c r="G123" s="903">
        <f t="shared" si="10"/>
        <v>155900</v>
      </c>
      <c r="H123" s="903">
        <f>180000-24100</f>
        <v>155900</v>
      </c>
      <c r="I123" s="903"/>
      <c r="J123" s="903"/>
      <c r="K123" s="606">
        <f t="shared" si="9"/>
        <v>311800</v>
      </c>
    </row>
    <row r="124" spans="1:18" s="24" customFormat="1" ht="63" x14ac:dyDescent="0.2">
      <c r="A124" s="1903"/>
      <c r="B124" s="1903"/>
      <c r="C124" s="1903"/>
      <c r="D124" s="1908"/>
      <c r="E124" s="797" t="s">
        <v>1409</v>
      </c>
      <c r="F124" s="553" t="s">
        <v>1380</v>
      </c>
      <c r="G124" s="903">
        <f t="shared" si="10"/>
        <v>164200</v>
      </c>
      <c r="H124" s="903">
        <f>220000-55800</f>
        <v>164200</v>
      </c>
      <c r="I124" s="903"/>
      <c r="J124" s="903"/>
      <c r="K124" s="606">
        <f t="shared" si="9"/>
        <v>328400</v>
      </c>
    </row>
    <row r="125" spans="1:18" s="24" customFormat="1" ht="45" x14ac:dyDescent="0.2">
      <c r="A125" s="1903"/>
      <c r="B125" s="1903"/>
      <c r="C125" s="1903"/>
      <c r="D125" s="1908"/>
      <c r="E125" s="1164" t="s">
        <v>1384</v>
      </c>
      <c r="F125" s="1165" t="s">
        <v>1377</v>
      </c>
      <c r="G125" s="1033">
        <f t="shared" si="10"/>
        <v>330000</v>
      </c>
      <c r="H125" s="1033">
        <f>360000-30000</f>
        <v>330000</v>
      </c>
      <c r="I125" s="903"/>
      <c r="J125" s="903"/>
      <c r="K125" s="606">
        <f t="shared" si="9"/>
        <v>660000</v>
      </c>
    </row>
    <row r="126" spans="1:18" ht="56.25" x14ac:dyDescent="0.2">
      <c r="A126" s="1902" t="s">
        <v>868</v>
      </c>
      <c r="B126" s="1902" t="s">
        <v>263</v>
      </c>
      <c r="C126" s="1902" t="s">
        <v>233</v>
      </c>
      <c r="D126" s="1929" t="s">
        <v>148</v>
      </c>
      <c r="E126" s="1166" t="s">
        <v>1387</v>
      </c>
      <c r="F126" s="553" t="s">
        <v>1374</v>
      </c>
      <c r="G126" s="903">
        <f>H126+I126</f>
        <v>4492700</v>
      </c>
      <c r="H126" s="599">
        <v>4492700</v>
      </c>
      <c r="I126" s="599"/>
      <c r="J126" s="599"/>
      <c r="K126" s="606">
        <f t="shared" si="9"/>
        <v>8985400</v>
      </c>
      <c r="L126" s="300">
        <f>G126-H126-I126</f>
        <v>0</v>
      </c>
      <c r="M126" s="300">
        <f>G126+G128+G130+G131+G132+G133+G134+G135+G136+G137+G138+G139</f>
        <v>93970000</v>
      </c>
      <c r="R126" s="516">
        <f>I127+H127-G127</f>
        <v>0</v>
      </c>
    </row>
    <row r="127" spans="1:18" ht="91.5" customHeight="1" x14ac:dyDescent="0.2">
      <c r="A127" s="1904"/>
      <c r="B127" s="1904"/>
      <c r="C127" s="1904"/>
      <c r="D127" s="1930"/>
      <c r="E127" s="798" t="s">
        <v>1178</v>
      </c>
      <c r="F127" s="210" t="s">
        <v>914</v>
      </c>
      <c r="G127" s="903">
        <f t="shared" ref="G127:G140" si="11">H127+I127</f>
        <v>300000</v>
      </c>
      <c r="H127" s="599">
        <v>300000</v>
      </c>
      <c r="I127" s="599"/>
      <c r="J127" s="599"/>
      <c r="K127" s="606">
        <f t="shared" si="9"/>
        <v>600000</v>
      </c>
      <c r="L127" s="300">
        <f>G127-H127-I127</f>
        <v>0</v>
      </c>
      <c r="M127" s="300">
        <f>G127-I127-H127</f>
        <v>0</v>
      </c>
      <c r="R127" s="516">
        <f>I128+H128-G128</f>
        <v>0</v>
      </c>
    </row>
    <row r="128" spans="1:18" ht="56.25" x14ac:dyDescent="0.2">
      <c r="A128" s="1902" t="s">
        <v>869</v>
      </c>
      <c r="B128" s="1902" t="s">
        <v>264</v>
      </c>
      <c r="C128" s="1902" t="s">
        <v>233</v>
      </c>
      <c r="D128" s="1910" t="s">
        <v>272</v>
      </c>
      <c r="E128" s="1166" t="s">
        <v>1387</v>
      </c>
      <c r="F128" s="1165" t="s">
        <v>1374</v>
      </c>
      <c r="G128" s="903">
        <f t="shared" si="11"/>
        <v>2691400</v>
      </c>
      <c r="H128" s="599">
        <v>2691400</v>
      </c>
      <c r="I128" s="599"/>
      <c r="J128" s="599"/>
      <c r="K128" s="606">
        <f t="shared" si="9"/>
        <v>5382800</v>
      </c>
      <c r="L128" s="300">
        <f>G128-H128-I128</f>
        <v>0</v>
      </c>
      <c r="M128" s="300">
        <f>G128-I128-H128</f>
        <v>0</v>
      </c>
      <c r="R128" s="516">
        <f>I160+H160-G160</f>
        <v>0</v>
      </c>
    </row>
    <row r="129" spans="1:18" s="24" customFormat="1" ht="63" x14ac:dyDescent="0.2">
      <c r="A129" s="1904"/>
      <c r="B129" s="1904"/>
      <c r="C129" s="1904"/>
      <c r="D129" s="1909"/>
      <c r="E129" s="798" t="s">
        <v>1178</v>
      </c>
      <c r="F129" s="210" t="s">
        <v>914</v>
      </c>
      <c r="G129" s="903">
        <f t="shared" si="11"/>
        <v>200000</v>
      </c>
      <c r="H129" s="599">
        <v>200000</v>
      </c>
      <c r="I129" s="599"/>
      <c r="J129" s="599"/>
      <c r="K129" s="606">
        <f t="shared" si="9"/>
        <v>400000</v>
      </c>
      <c r="R129" s="516">
        <f>I130+H130-G130</f>
        <v>0</v>
      </c>
    </row>
    <row r="130" spans="1:18" s="24" customFormat="1" ht="56.25" x14ac:dyDescent="0.2">
      <c r="A130" s="44" t="s">
        <v>870</v>
      </c>
      <c r="B130" s="44" t="s">
        <v>265</v>
      </c>
      <c r="C130" s="44" t="s">
        <v>233</v>
      </c>
      <c r="D130" s="197" t="s">
        <v>640</v>
      </c>
      <c r="E130" s="1166" t="s">
        <v>1387</v>
      </c>
      <c r="F130" s="1165" t="s">
        <v>1374</v>
      </c>
      <c r="G130" s="903">
        <f t="shared" si="11"/>
        <v>5260100</v>
      </c>
      <c r="H130" s="599">
        <f>5310100-50000</f>
        <v>5260100</v>
      </c>
      <c r="I130" s="599"/>
      <c r="J130" s="599"/>
      <c r="K130" s="606">
        <f t="shared" si="9"/>
        <v>10520200</v>
      </c>
    </row>
    <row r="131" spans="1:18" s="24" customFormat="1" ht="56.25" x14ac:dyDescent="0.2">
      <c r="A131" s="44" t="s">
        <v>871</v>
      </c>
      <c r="B131" s="44" t="s">
        <v>232</v>
      </c>
      <c r="C131" s="44" t="s">
        <v>233</v>
      </c>
      <c r="D131" s="197" t="s">
        <v>641</v>
      </c>
      <c r="E131" s="1166" t="s">
        <v>1387</v>
      </c>
      <c r="F131" s="1165" t="s">
        <v>1374</v>
      </c>
      <c r="G131" s="903">
        <f t="shared" si="11"/>
        <v>386700</v>
      </c>
      <c r="H131" s="599">
        <f>336700+50000</f>
        <v>386700</v>
      </c>
      <c r="I131" s="599"/>
      <c r="J131" s="599"/>
      <c r="K131" s="606">
        <f t="shared" si="9"/>
        <v>773400</v>
      </c>
    </row>
    <row r="132" spans="1:18" s="24" customFormat="1" ht="56.25" x14ac:dyDescent="0.2">
      <c r="A132" s="44" t="s">
        <v>872</v>
      </c>
      <c r="B132" s="44" t="s">
        <v>266</v>
      </c>
      <c r="C132" s="44" t="s">
        <v>233</v>
      </c>
      <c r="D132" s="197" t="s">
        <v>41</v>
      </c>
      <c r="E132" s="1166" t="s">
        <v>1387</v>
      </c>
      <c r="F132" s="1165" t="s">
        <v>1374</v>
      </c>
      <c r="G132" s="903">
        <f t="shared" si="11"/>
        <v>46673800</v>
      </c>
      <c r="H132" s="599">
        <v>46673800</v>
      </c>
      <c r="I132" s="599"/>
      <c r="J132" s="599"/>
      <c r="K132" s="606">
        <f t="shared" si="9"/>
        <v>93347600</v>
      </c>
    </row>
    <row r="133" spans="1:18" s="185" customFormat="1" ht="56.25" x14ac:dyDescent="0.2">
      <c r="A133" s="44" t="s">
        <v>873</v>
      </c>
      <c r="B133" s="44" t="s">
        <v>267</v>
      </c>
      <c r="C133" s="44" t="s">
        <v>233</v>
      </c>
      <c r="D133" s="197" t="s">
        <v>213</v>
      </c>
      <c r="E133" s="1166" t="s">
        <v>1387</v>
      </c>
      <c r="F133" s="1165" t="s">
        <v>1374</v>
      </c>
      <c r="G133" s="903">
        <f t="shared" si="11"/>
        <v>4913600</v>
      </c>
      <c r="H133" s="599">
        <v>4913600</v>
      </c>
      <c r="I133" s="599"/>
      <c r="J133" s="599"/>
      <c r="K133" s="606">
        <f t="shared" si="9"/>
        <v>9827200</v>
      </c>
      <c r="M133" s="300">
        <f t="shared" ref="M133:M155" si="12">G133-I133-H133</f>
        <v>0</v>
      </c>
    </row>
    <row r="134" spans="1:18" ht="56.25" x14ac:dyDescent="0.2">
      <c r="A134" s="44" t="s">
        <v>874</v>
      </c>
      <c r="B134" s="44" t="s">
        <v>195</v>
      </c>
      <c r="C134" s="44" t="s">
        <v>233</v>
      </c>
      <c r="D134" s="197" t="s">
        <v>422</v>
      </c>
      <c r="E134" s="1166" t="s">
        <v>1387</v>
      </c>
      <c r="F134" s="1165" t="s">
        <v>1374</v>
      </c>
      <c r="G134" s="903">
        <f t="shared" si="11"/>
        <v>17545000</v>
      </c>
      <c r="H134" s="599">
        <v>17545000</v>
      </c>
      <c r="I134" s="599"/>
      <c r="J134" s="599"/>
      <c r="K134" s="606">
        <f t="shared" si="9"/>
        <v>35090000</v>
      </c>
      <c r="L134" s="300">
        <f t="shared" ref="L134:L155" si="13">G134-H134-I134</f>
        <v>0</v>
      </c>
      <c r="M134" s="300">
        <f t="shared" si="12"/>
        <v>0</v>
      </c>
      <c r="R134" s="516">
        <f>I135+H135-G135</f>
        <v>0</v>
      </c>
    </row>
    <row r="135" spans="1:18" ht="78.75" x14ac:dyDescent="0.2">
      <c r="A135" s="453" t="s">
        <v>875</v>
      </c>
      <c r="B135" s="453" t="s">
        <v>172</v>
      </c>
      <c r="C135" s="453" t="s">
        <v>233</v>
      </c>
      <c r="D135" s="41" t="s">
        <v>1220</v>
      </c>
      <c r="E135" s="1166" t="s">
        <v>1387</v>
      </c>
      <c r="F135" s="1165" t="s">
        <v>1374</v>
      </c>
      <c r="G135" s="903">
        <f t="shared" si="11"/>
        <v>595200</v>
      </c>
      <c r="H135" s="599">
        <v>595200</v>
      </c>
      <c r="I135" s="599"/>
      <c r="J135" s="599"/>
      <c r="K135" s="606">
        <f t="shared" si="9"/>
        <v>1190400</v>
      </c>
      <c r="L135" s="300">
        <f t="shared" si="13"/>
        <v>0</v>
      </c>
      <c r="M135" s="300">
        <f t="shared" si="12"/>
        <v>0</v>
      </c>
      <c r="R135" s="516">
        <f>I136+H136-G136</f>
        <v>0</v>
      </c>
    </row>
    <row r="136" spans="1:18" ht="78.75" x14ac:dyDescent="0.2">
      <c r="A136" s="453" t="s">
        <v>876</v>
      </c>
      <c r="B136" s="453" t="s">
        <v>173</v>
      </c>
      <c r="C136" s="453" t="s">
        <v>233</v>
      </c>
      <c r="D136" s="41" t="s">
        <v>1221</v>
      </c>
      <c r="E136" s="1166" t="s">
        <v>1387</v>
      </c>
      <c r="F136" s="1165" t="s">
        <v>1374</v>
      </c>
      <c r="G136" s="903">
        <f t="shared" si="11"/>
        <v>251600</v>
      </c>
      <c r="H136" s="599">
        <v>251600</v>
      </c>
      <c r="I136" s="599"/>
      <c r="J136" s="599"/>
      <c r="K136" s="606">
        <f t="shared" si="9"/>
        <v>503200</v>
      </c>
      <c r="L136" s="300">
        <f t="shared" si="13"/>
        <v>0</v>
      </c>
      <c r="M136" s="300">
        <f t="shared" si="12"/>
        <v>0</v>
      </c>
      <c r="R136" s="516">
        <f>I137+H137-G137</f>
        <v>0</v>
      </c>
    </row>
    <row r="137" spans="1:18" ht="63" x14ac:dyDescent="0.2">
      <c r="A137" s="44" t="s">
        <v>877</v>
      </c>
      <c r="B137" s="44" t="s">
        <v>50</v>
      </c>
      <c r="C137" s="44" t="s">
        <v>233</v>
      </c>
      <c r="D137" s="197" t="s">
        <v>1222</v>
      </c>
      <c r="E137" s="1166" t="s">
        <v>1387</v>
      </c>
      <c r="F137" s="1165" t="s">
        <v>1374</v>
      </c>
      <c r="G137" s="903">
        <f t="shared" si="11"/>
        <v>1322800</v>
      </c>
      <c r="H137" s="599">
        <v>1322800</v>
      </c>
      <c r="I137" s="599"/>
      <c r="J137" s="599"/>
      <c r="K137" s="606">
        <f t="shared" si="9"/>
        <v>2645600</v>
      </c>
      <c r="L137" s="300">
        <f t="shared" si="13"/>
        <v>0</v>
      </c>
      <c r="M137" s="300">
        <f t="shared" si="12"/>
        <v>0</v>
      </c>
      <c r="R137" s="516">
        <f>I154+H154-G154</f>
        <v>0</v>
      </c>
    </row>
    <row r="138" spans="1:18" ht="78.75" x14ac:dyDescent="0.2">
      <c r="A138" s="453" t="s">
        <v>878</v>
      </c>
      <c r="B138" s="453" t="s">
        <v>51</v>
      </c>
      <c r="C138" s="453" t="s">
        <v>233</v>
      </c>
      <c r="D138" s="41" t="s">
        <v>246</v>
      </c>
      <c r="E138" s="1166" t="s">
        <v>1387</v>
      </c>
      <c r="F138" s="1165" t="s">
        <v>1374</v>
      </c>
      <c r="G138" s="903">
        <f t="shared" si="11"/>
        <v>1181000</v>
      </c>
      <c r="H138" s="599">
        <v>1181000</v>
      </c>
      <c r="I138" s="599"/>
      <c r="J138" s="599"/>
      <c r="K138" s="606">
        <f t="shared" si="9"/>
        <v>2362000</v>
      </c>
      <c r="L138" s="300">
        <f t="shared" si="13"/>
        <v>0</v>
      </c>
      <c r="M138" s="300">
        <f t="shared" si="12"/>
        <v>0</v>
      </c>
      <c r="R138" s="516">
        <f t="shared" ref="R138:R151" si="14">I139+H139-G139</f>
        <v>0</v>
      </c>
    </row>
    <row r="139" spans="1:18" ht="56.25" x14ac:dyDescent="0.2">
      <c r="A139" s="453" t="s">
        <v>879</v>
      </c>
      <c r="B139" s="453" t="s">
        <v>248</v>
      </c>
      <c r="C139" s="453" t="s">
        <v>233</v>
      </c>
      <c r="D139" s="41" t="s">
        <v>247</v>
      </c>
      <c r="E139" s="1166" t="s">
        <v>1387</v>
      </c>
      <c r="F139" s="1165" t="s">
        <v>1374</v>
      </c>
      <c r="G139" s="903">
        <f t="shared" si="11"/>
        <v>8656100</v>
      </c>
      <c r="H139" s="599">
        <v>8656100</v>
      </c>
      <c r="I139" s="599"/>
      <c r="J139" s="599"/>
      <c r="K139" s="606">
        <f t="shared" si="9"/>
        <v>17312200</v>
      </c>
      <c r="L139" s="300">
        <f t="shared" si="13"/>
        <v>0</v>
      </c>
      <c r="M139" s="300">
        <f t="shared" si="12"/>
        <v>0</v>
      </c>
      <c r="R139" s="516">
        <f t="shared" si="14"/>
        <v>0</v>
      </c>
    </row>
    <row r="140" spans="1:18" ht="63" x14ac:dyDescent="0.2">
      <c r="A140" s="453" t="s">
        <v>907</v>
      </c>
      <c r="B140" s="453" t="s">
        <v>304</v>
      </c>
      <c r="C140" s="44" t="s">
        <v>11</v>
      </c>
      <c r="D140" s="41" t="s">
        <v>364</v>
      </c>
      <c r="E140" s="798" t="s">
        <v>1178</v>
      </c>
      <c r="F140" s="210" t="s">
        <v>914</v>
      </c>
      <c r="G140" s="903">
        <f t="shared" si="11"/>
        <v>5100000</v>
      </c>
      <c r="H140" s="599">
        <v>5100000</v>
      </c>
      <c r="I140" s="599"/>
      <c r="J140" s="599"/>
      <c r="K140" s="606">
        <f t="shared" si="9"/>
        <v>10200000</v>
      </c>
      <c r="L140" s="300">
        <f t="shared" si="13"/>
        <v>0</v>
      </c>
      <c r="M140" s="300">
        <f>H111-M141</f>
        <v>102764100</v>
      </c>
      <c r="R140" s="516">
        <f t="shared" si="14"/>
        <v>0</v>
      </c>
    </row>
    <row r="141" spans="1:18" ht="94.5" x14ac:dyDescent="0.2">
      <c r="A141" s="44" t="s">
        <v>880</v>
      </c>
      <c r="B141" s="44" t="s">
        <v>425</v>
      </c>
      <c r="C141" s="44" t="s">
        <v>426</v>
      </c>
      <c r="D141" s="197" t="s">
        <v>629</v>
      </c>
      <c r="E141" s="1164" t="s">
        <v>1384</v>
      </c>
      <c r="F141" s="1165" t="s">
        <v>1377</v>
      </c>
      <c r="G141" s="903">
        <f>+H141+I141</f>
        <v>85885</v>
      </c>
      <c r="H141" s="1034">
        <v>49500</v>
      </c>
      <c r="I141" s="1035">
        <v>36385</v>
      </c>
      <c r="J141" s="599"/>
      <c r="K141" s="606">
        <f t="shared" si="9"/>
        <v>171770</v>
      </c>
      <c r="L141" s="300">
        <f t="shared" si="13"/>
        <v>0</v>
      </c>
      <c r="M141" s="300">
        <f>H141+H152</f>
        <v>875800</v>
      </c>
      <c r="R141" s="516">
        <f t="shared" si="14"/>
        <v>0</v>
      </c>
    </row>
    <row r="142" spans="1:18" ht="55.5" customHeight="1" x14ac:dyDescent="0.2">
      <c r="A142" s="44" t="s">
        <v>413</v>
      </c>
      <c r="B142" s="44" t="s">
        <v>279</v>
      </c>
      <c r="C142" s="44" t="s">
        <v>411</v>
      </c>
      <c r="D142" s="197" t="s">
        <v>414</v>
      </c>
      <c r="E142" s="210" t="s">
        <v>1386</v>
      </c>
      <c r="F142" s="1165" t="s">
        <v>1376</v>
      </c>
      <c r="G142" s="903">
        <f>H142+I142</f>
        <v>180000</v>
      </c>
      <c r="H142" s="599">
        <v>180000</v>
      </c>
      <c r="I142" s="599"/>
      <c r="J142" s="599"/>
      <c r="K142" s="606">
        <f t="shared" si="9"/>
        <v>360000</v>
      </c>
      <c r="L142" s="300">
        <f t="shared" si="13"/>
        <v>0</v>
      </c>
      <c r="M142" s="300">
        <f t="shared" si="12"/>
        <v>0</v>
      </c>
      <c r="R142" s="516">
        <f t="shared" si="14"/>
        <v>0</v>
      </c>
    </row>
    <row r="143" spans="1:18" ht="45" x14ac:dyDescent="0.2">
      <c r="A143" s="44" t="s">
        <v>584</v>
      </c>
      <c r="B143" s="44" t="s">
        <v>585</v>
      </c>
      <c r="C143" s="44" t="s">
        <v>587</v>
      </c>
      <c r="D143" s="197" t="s">
        <v>586</v>
      </c>
      <c r="E143" s="265" t="s">
        <v>1385</v>
      </c>
      <c r="F143" s="1165" t="s">
        <v>1375</v>
      </c>
      <c r="G143" s="903">
        <f>H143+I143</f>
        <v>222000</v>
      </c>
      <c r="H143" s="599">
        <v>222000</v>
      </c>
      <c r="I143" s="599"/>
      <c r="J143" s="599"/>
      <c r="K143" s="606">
        <f t="shared" si="9"/>
        <v>444000</v>
      </c>
      <c r="L143" s="300">
        <f t="shared" si="13"/>
        <v>0</v>
      </c>
      <c r="M143" s="300">
        <f t="shared" si="12"/>
        <v>0</v>
      </c>
      <c r="R143" s="516">
        <f t="shared" si="14"/>
        <v>0</v>
      </c>
    </row>
    <row r="144" spans="1:18" ht="34.5" hidden="1" x14ac:dyDescent="0.2">
      <c r="A144" s="44" t="s">
        <v>409</v>
      </c>
      <c r="B144" s="44" t="s">
        <v>410</v>
      </c>
      <c r="C144" s="44" t="s">
        <v>411</v>
      </c>
      <c r="D144" s="42" t="s">
        <v>412</v>
      </c>
      <c r="E144" s="210"/>
      <c r="F144" s="216"/>
      <c r="G144" s="443">
        <f>H144+I144</f>
        <v>0</v>
      </c>
      <c r="H144" s="445"/>
      <c r="I144" s="445"/>
      <c r="J144" s="445"/>
      <c r="K144" s="606">
        <f t="shared" si="9"/>
        <v>0</v>
      </c>
      <c r="L144" s="300">
        <f t="shared" si="13"/>
        <v>0</v>
      </c>
      <c r="M144" s="300">
        <f t="shared" si="12"/>
        <v>0</v>
      </c>
      <c r="R144" s="516">
        <f t="shared" si="14"/>
        <v>0</v>
      </c>
    </row>
    <row r="145" spans="1:18" ht="31.5" hidden="1" x14ac:dyDescent="0.2">
      <c r="A145" s="44" t="s">
        <v>415</v>
      </c>
      <c r="B145" s="44" t="s">
        <v>416</v>
      </c>
      <c r="C145" s="44" t="s">
        <v>223</v>
      </c>
      <c r="D145" s="42" t="s">
        <v>417</v>
      </c>
      <c r="E145" s="209"/>
      <c r="F145" s="249"/>
      <c r="G145" s="443">
        <f t="shared" ref="G145:G153" si="15">H145+I145</f>
        <v>0</v>
      </c>
      <c r="H145" s="447"/>
      <c r="I145" s="447"/>
      <c r="J145" s="447"/>
      <c r="K145" s="606">
        <f t="shared" si="9"/>
        <v>0</v>
      </c>
      <c r="L145" s="300">
        <f t="shared" si="13"/>
        <v>0</v>
      </c>
      <c r="M145" s="300">
        <f t="shared" si="12"/>
        <v>0</v>
      </c>
      <c r="R145" s="516">
        <f t="shared" si="14"/>
        <v>0</v>
      </c>
    </row>
    <row r="146" spans="1:18" ht="45" hidden="1" x14ac:dyDescent="0.2">
      <c r="A146" s="44" t="s">
        <v>581</v>
      </c>
      <c r="B146" s="44" t="s">
        <v>582</v>
      </c>
      <c r="C146" s="44" t="s">
        <v>223</v>
      </c>
      <c r="D146" s="42" t="s">
        <v>583</v>
      </c>
      <c r="E146" s="259" t="s">
        <v>648</v>
      </c>
      <c r="F146" s="344"/>
      <c r="G146" s="443">
        <f t="shared" si="15"/>
        <v>0</v>
      </c>
      <c r="H146" s="447"/>
      <c r="I146" s="447"/>
      <c r="J146" s="447"/>
      <c r="K146" s="606">
        <f t="shared" si="9"/>
        <v>0</v>
      </c>
      <c r="L146" s="300">
        <f t="shared" si="13"/>
        <v>0</v>
      </c>
      <c r="M146" s="300">
        <f t="shared" si="12"/>
        <v>0</v>
      </c>
      <c r="R146" s="516">
        <f t="shared" si="14"/>
        <v>0</v>
      </c>
    </row>
    <row r="147" spans="1:18" ht="78.75" hidden="1" x14ac:dyDescent="0.2">
      <c r="A147" s="44" t="s">
        <v>865</v>
      </c>
      <c r="B147" s="44" t="s">
        <v>261</v>
      </c>
      <c r="C147" s="44" t="s">
        <v>15</v>
      </c>
      <c r="D147" s="42" t="s">
        <v>120</v>
      </c>
      <c r="E147" s="210" t="s">
        <v>633</v>
      </c>
      <c r="F147" s="216"/>
      <c r="G147" s="443">
        <f t="shared" si="15"/>
        <v>0</v>
      </c>
      <c r="H147" s="445"/>
      <c r="I147" s="445"/>
      <c r="J147" s="445"/>
      <c r="K147" s="606">
        <f t="shared" si="9"/>
        <v>0</v>
      </c>
      <c r="L147" s="300">
        <f t="shared" si="13"/>
        <v>0</v>
      </c>
      <c r="M147" s="300">
        <f t="shared" si="12"/>
        <v>0</v>
      </c>
      <c r="R147" s="516">
        <f t="shared" si="14"/>
        <v>0</v>
      </c>
    </row>
    <row r="148" spans="1:18" ht="78.75" hidden="1" x14ac:dyDescent="0.2">
      <c r="A148" s="44" t="s">
        <v>865</v>
      </c>
      <c r="B148" s="44" t="s">
        <v>261</v>
      </c>
      <c r="C148" s="44" t="s">
        <v>15</v>
      </c>
      <c r="D148" s="42" t="s">
        <v>120</v>
      </c>
      <c r="E148" s="303" t="s">
        <v>652</v>
      </c>
      <c r="F148" s="353"/>
      <c r="G148" s="443">
        <f t="shared" si="15"/>
        <v>0</v>
      </c>
      <c r="H148" s="449"/>
      <c r="I148" s="449"/>
      <c r="J148" s="445"/>
      <c r="K148" s="606">
        <f t="shared" ref="K148:K211" si="16">SUM(G148:J148)</f>
        <v>0</v>
      </c>
      <c r="L148" s="300">
        <f t="shared" si="13"/>
        <v>0</v>
      </c>
      <c r="M148" s="300">
        <f t="shared" si="12"/>
        <v>0</v>
      </c>
      <c r="R148" s="516">
        <f t="shared" si="14"/>
        <v>0</v>
      </c>
    </row>
    <row r="149" spans="1:18" ht="63" hidden="1" x14ac:dyDescent="0.2">
      <c r="A149" s="44" t="s">
        <v>881</v>
      </c>
      <c r="B149" s="44" t="s">
        <v>593</v>
      </c>
      <c r="C149" s="44" t="s">
        <v>411</v>
      </c>
      <c r="D149" s="42" t="s">
        <v>787</v>
      </c>
      <c r="E149" s="210" t="s">
        <v>762</v>
      </c>
      <c r="F149" s="210" t="s">
        <v>763</v>
      </c>
      <c r="G149" s="443">
        <f t="shared" si="15"/>
        <v>0</v>
      </c>
      <c r="H149" s="277"/>
      <c r="I149" s="445"/>
      <c r="J149" s="445"/>
      <c r="K149" s="606">
        <f t="shared" si="16"/>
        <v>0</v>
      </c>
      <c r="L149" s="300">
        <f t="shared" si="13"/>
        <v>0</v>
      </c>
      <c r="M149" s="300">
        <f t="shared" si="12"/>
        <v>0</v>
      </c>
      <c r="R149" s="516">
        <f t="shared" si="14"/>
        <v>0</v>
      </c>
    </row>
    <row r="150" spans="1:18" ht="31.5" hidden="1" x14ac:dyDescent="0.2">
      <c r="A150" s="44" t="s">
        <v>882</v>
      </c>
      <c r="B150" s="44" t="s">
        <v>595</v>
      </c>
      <c r="C150" s="44" t="s">
        <v>224</v>
      </c>
      <c r="D150" s="42" t="s">
        <v>596</v>
      </c>
      <c r="E150" s="209" t="s">
        <v>669</v>
      </c>
      <c r="F150" s="249"/>
      <c r="G150" s="443">
        <f t="shared" si="15"/>
        <v>0</v>
      </c>
      <c r="H150" s="447"/>
      <c r="I150" s="447"/>
      <c r="J150" s="447"/>
      <c r="K150" s="606">
        <f t="shared" si="16"/>
        <v>0</v>
      </c>
      <c r="L150" s="300">
        <f t="shared" si="13"/>
        <v>0</v>
      </c>
      <c r="M150" s="300">
        <f t="shared" si="12"/>
        <v>0</v>
      </c>
      <c r="R150" s="516">
        <f t="shared" si="14"/>
        <v>0</v>
      </c>
    </row>
    <row r="151" spans="1:18" ht="63" hidden="1" x14ac:dyDescent="0.2">
      <c r="A151" s="44" t="s">
        <v>883</v>
      </c>
      <c r="B151" s="44" t="s">
        <v>650</v>
      </c>
      <c r="C151" s="44" t="s">
        <v>14</v>
      </c>
      <c r="D151" s="42" t="s">
        <v>651</v>
      </c>
      <c r="E151" s="209" t="s">
        <v>814</v>
      </c>
      <c r="F151" s="249" t="s">
        <v>815</v>
      </c>
      <c r="G151" s="443">
        <f t="shared" si="15"/>
        <v>0</v>
      </c>
      <c r="H151" s="447"/>
      <c r="I151" s="464"/>
      <c r="J151" s="447"/>
      <c r="K151" s="606">
        <f t="shared" si="16"/>
        <v>0</v>
      </c>
      <c r="L151" s="300">
        <f t="shared" si="13"/>
        <v>0</v>
      </c>
      <c r="M151" s="300">
        <f t="shared" si="12"/>
        <v>0</v>
      </c>
      <c r="R151" s="516">
        <f t="shared" si="14"/>
        <v>0</v>
      </c>
    </row>
    <row r="152" spans="1:18" ht="45" x14ac:dyDescent="0.2">
      <c r="A152" s="44" t="s">
        <v>886</v>
      </c>
      <c r="B152" s="44" t="s">
        <v>423</v>
      </c>
      <c r="C152" s="44" t="s">
        <v>56</v>
      </c>
      <c r="D152" s="197" t="s">
        <v>424</v>
      </c>
      <c r="E152" s="1164" t="s">
        <v>1384</v>
      </c>
      <c r="F152" s="1165" t="s">
        <v>1377</v>
      </c>
      <c r="G152" s="903">
        <f t="shared" si="15"/>
        <v>1433118</v>
      </c>
      <c r="H152" s="1036">
        <v>826300</v>
      </c>
      <c r="I152" s="1036">
        <v>606818</v>
      </c>
      <c r="J152" s="1029"/>
      <c r="K152" s="606">
        <f t="shared" si="16"/>
        <v>2866236</v>
      </c>
      <c r="L152" s="300">
        <f t="shared" si="13"/>
        <v>0</v>
      </c>
      <c r="M152" s="300">
        <f t="shared" si="12"/>
        <v>0</v>
      </c>
      <c r="R152" s="516">
        <f>I162+H162-G162</f>
        <v>0</v>
      </c>
    </row>
    <row r="153" spans="1:18" ht="45" hidden="1" x14ac:dyDescent="0.2">
      <c r="A153" s="44" t="s">
        <v>907</v>
      </c>
      <c r="B153" s="44" t="s">
        <v>304</v>
      </c>
      <c r="C153" s="44" t="s">
        <v>11</v>
      </c>
      <c r="D153" s="42" t="s">
        <v>305</v>
      </c>
      <c r="E153" s="210" t="s">
        <v>1178</v>
      </c>
      <c r="F153" s="546" t="s">
        <v>914</v>
      </c>
      <c r="G153" s="443">
        <f t="shared" si="15"/>
        <v>0</v>
      </c>
      <c r="H153" s="443"/>
      <c r="I153" s="443"/>
      <c r="J153" s="443"/>
      <c r="K153" s="606">
        <f t="shared" si="16"/>
        <v>0</v>
      </c>
      <c r="L153" s="300"/>
      <c r="M153" s="300"/>
      <c r="R153" s="516"/>
    </row>
    <row r="154" spans="1:18" ht="47.25" x14ac:dyDescent="0.2">
      <c r="A154" s="173" t="s">
        <v>427</v>
      </c>
      <c r="B154" s="173"/>
      <c r="C154" s="173"/>
      <c r="D154" s="1154" t="s">
        <v>693</v>
      </c>
      <c r="E154" s="208"/>
      <c r="F154" s="348"/>
      <c r="G154" s="1028">
        <f>G155</f>
        <v>1408139441.05</v>
      </c>
      <c r="H154" s="1028">
        <f>H155</f>
        <v>4070620</v>
      </c>
      <c r="I154" s="1028">
        <f>I155</f>
        <v>1404068821.05</v>
      </c>
      <c r="J154" s="1028">
        <f>J155</f>
        <v>58657841</v>
      </c>
      <c r="K154" s="606">
        <f t="shared" si="16"/>
        <v>2874936723.0999999</v>
      </c>
      <c r="L154" s="300">
        <f t="shared" si="13"/>
        <v>0</v>
      </c>
      <c r="M154" s="300">
        <f t="shared" si="12"/>
        <v>0</v>
      </c>
      <c r="R154" s="516">
        <f>I155+H155-G155</f>
        <v>0</v>
      </c>
    </row>
    <row r="155" spans="1:18" ht="47.25" x14ac:dyDescent="0.2">
      <c r="A155" s="173" t="s">
        <v>428</v>
      </c>
      <c r="B155" s="173"/>
      <c r="C155" s="173"/>
      <c r="D155" s="1154" t="s">
        <v>693</v>
      </c>
      <c r="E155" s="208"/>
      <c r="F155" s="348"/>
      <c r="G155" s="1028">
        <f>SUM(G156:G205)</f>
        <v>1408139441.05</v>
      </c>
      <c r="H155" s="1028">
        <f>SUM(H156:H205)</f>
        <v>4070620</v>
      </c>
      <c r="I155" s="1028">
        <f>SUM(I156:I205)</f>
        <v>1404068821.05</v>
      </c>
      <c r="J155" s="1028">
        <f>SUM(J156:J205)</f>
        <v>58657841</v>
      </c>
      <c r="K155" s="606">
        <f t="shared" si="16"/>
        <v>2874936723.0999999</v>
      </c>
      <c r="L155" s="300">
        <f t="shared" si="13"/>
        <v>0</v>
      </c>
      <c r="M155" s="300">
        <f t="shared" si="12"/>
        <v>0</v>
      </c>
      <c r="R155" s="516">
        <f>I156+H156-G156</f>
        <v>0</v>
      </c>
    </row>
    <row r="156" spans="1:18" s="24" customFormat="1" ht="94.5" hidden="1" x14ac:dyDescent="0.2">
      <c r="A156" s="44" t="s">
        <v>429</v>
      </c>
      <c r="B156" s="44" t="s">
        <v>18</v>
      </c>
      <c r="C156" s="44" t="s">
        <v>16</v>
      </c>
      <c r="D156" s="42" t="s">
        <v>19</v>
      </c>
      <c r="E156" s="219"/>
      <c r="F156" s="355"/>
      <c r="G156" s="443">
        <f t="shared" ref="G156:G202" si="17">H156+I156</f>
        <v>0</v>
      </c>
      <c r="H156" s="443"/>
      <c r="I156" s="443"/>
      <c r="J156" s="443"/>
      <c r="K156" s="606">
        <f t="shared" si="16"/>
        <v>0</v>
      </c>
    </row>
    <row r="157" spans="1:18" s="24" customFormat="1" ht="141.75" hidden="1" x14ac:dyDescent="0.2">
      <c r="A157" s="549" t="s">
        <v>722</v>
      </c>
      <c r="B157" s="549" t="s">
        <v>20</v>
      </c>
      <c r="C157" s="549" t="s">
        <v>16</v>
      </c>
      <c r="D157" s="550" t="s">
        <v>269</v>
      </c>
      <c r="E157" s="210" t="s">
        <v>816</v>
      </c>
      <c r="F157" s="216" t="s">
        <v>817</v>
      </c>
      <c r="G157" s="443">
        <f t="shared" si="17"/>
        <v>0</v>
      </c>
      <c r="H157" s="443"/>
      <c r="I157" s="443"/>
      <c r="J157" s="443"/>
      <c r="K157" s="606">
        <f t="shared" si="16"/>
        <v>0</v>
      </c>
      <c r="R157" s="516">
        <f>I158+H158-G158</f>
        <v>0</v>
      </c>
    </row>
    <row r="158" spans="1:18" s="24" customFormat="1" ht="63" hidden="1" x14ac:dyDescent="0.2">
      <c r="A158" s="44" t="s">
        <v>430</v>
      </c>
      <c r="B158" s="44" t="s">
        <v>23</v>
      </c>
      <c r="C158" s="44" t="s">
        <v>24</v>
      </c>
      <c r="D158" s="42" t="s">
        <v>319</v>
      </c>
      <c r="E158" s="210" t="s">
        <v>816</v>
      </c>
      <c r="F158" s="216" t="s">
        <v>817</v>
      </c>
      <c r="G158" s="443">
        <f t="shared" si="17"/>
        <v>0</v>
      </c>
      <c r="H158" s="443"/>
      <c r="I158" s="443"/>
      <c r="J158" s="443"/>
      <c r="K158" s="606">
        <f t="shared" si="16"/>
        <v>0</v>
      </c>
    </row>
    <row r="159" spans="1:18" ht="47.25" hidden="1" x14ac:dyDescent="0.2">
      <c r="A159" s="44" t="s">
        <v>431</v>
      </c>
      <c r="B159" s="44" t="s">
        <v>12</v>
      </c>
      <c r="C159" s="44" t="s">
        <v>13</v>
      </c>
      <c r="D159" s="42" t="s">
        <v>57</v>
      </c>
      <c r="E159" s="204"/>
      <c r="F159" s="214"/>
      <c r="G159" s="443">
        <f t="shared" si="17"/>
        <v>0</v>
      </c>
      <c r="H159" s="443"/>
      <c r="I159" s="443"/>
      <c r="J159" s="443"/>
      <c r="K159" s="606">
        <f t="shared" si="16"/>
        <v>0</v>
      </c>
      <c r="M159" s="300">
        <f>G159-I159-H159</f>
        <v>0</v>
      </c>
    </row>
    <row r="160" spans="1:18" ht="63" hidden="1" x14ac:dyDescent="0.2">
      <c r="A160" s="44" t="s">
        <v>432</v>
      </c>
      <c r="B160" s="44" t="s">
        <v>58</v>
      </c>
      <c r="C160" s="44" t="s">
        <v>99</v>
      </c>
      <c r="D160" s="42" t="s">
        <v>59</v>
      </c>
      <c r="E160" s="210" t="s">
        <v>816</v>
      </c>
      <c r="F160" s="216" t="s">
        <v>817</v>
      </c>
      <c r="G160" s="443">
        <f t="shared" si="17"/>
        <v>0</v>
      </c>
      <c r="H160" s="446"/>
      <c r="I160" s="446"/>
      <c r="J160" s="446"/>
      <c r="K160" s="606">
        <f t="shared" si="16"/>
        <v>0</v>
      </c>
      <c r="M160" s="300">
        <f>G160-I160-H160</f>
        <v>0</v>
      </c>
    </row>
    <row r="161" spans="1:18" ht="63" hidden="1" x14ac:dyDescent="0.2">
      <c r="A161" s="44" t="s">
        <v>439</v>
      </c>
      <c r="B161" s="44" t="s">
        <v>337</v>
      </c>
      <c r="C161" s="44" t="s">
        <v>61</v>
      </c>
      <c r="D161" s="42" t="s">
        <v>98</v>
      </c>
      <c r="E161" s="210" t="s">
        <v>816</v>
      </c>
      <c r="F161" s="216" t="s">
        <v>817</v>
      </c>
      <c r="G161" s="443">
        <f t="shared" si="17"/>
        <v>0</v>
      </c>
      <c r="H161" s="446"/>
      <c r="I161" s="446"/>
      <c r="J161" s="446"/>
      <c r="K161" s="606">
        <f t="shared" si="16"/>
        <v>0</v>
      </c>
      <c r="M161" s="300">
        <f>G161-I161-H161</f>
        <v>0</v>
      </c>
    </row>
    <row r="162" spans="1:18" ht="31.5" hidden="1" x14ac:dyDescent="0.2">
      <c r="A162" s="44" t="s">
        <v>433</v>
      </c>
      <c r="B162" s="44" t="s">
        <v>60</v>
      </c>
      <c r="C162" s="44" t="s">
        <v>214</v>
      </c>
      <c r="D162" s="42" t="s">
        <v>442</v>
      </c>
      <c r="E162" s="212"/>
      <c r="F162" s="350"/>
      <c r="G162" s="443">
        <f t="shared" si="17"/>
        <v>0</v>
      </c>
      <c r="H162" s="446"/>
      <c r="I162" s="446"/>
      <c r="J162" s="446"/>
      <c r="K162" s="606">
        <f t="shared" si="16"/>
        <v>0</v>
      </c>
      <c r="L162" s="300">
        <f>G162-H162-I162</f>
        <v>0</v>
      </c>
      <c r="M162" s="300">
        <f>G162-I162-H162</f>
        <v>0</v>
      </c>
    </row>
    <row r="163" spans="1:18" s="24" customFormat="1" ht="63" hidden="1" x14ac:dyDescent="0.2">
      <c r="A163" s="44" t="s">
        <v>440</v>
      </c>
      <c r="B163" s="44" t="s">
        <v>366</v>
      </c>
      <c r="C163" s="44" t="s">
        <v>102</v>
      </c>
      <c r="D163" s="42" t="s">
        <v>367</v>
      </c>
      <c r="E163" s="210" t="s">
        <v>816</v>
      </c>
      <c r="F163" s="216" t="s">
        <v>817</v>
      </c>
      <c r="G163" s="443">
        <f t="shared" si="17"/>
        <v>0</v>
      </c>
      <c r="H163" s="446"/>
      <c r="I163" s="446"/>
      <c r="J163" s="446"/>
      <c r="K163" s="606">
        <f t="shared" si="16"/>
        <v>0</v>
      </c>
      <c r="M163" s="73">
        <f>G163-I163-H163</f>
        <v>0</v>
      </c>
    </row>
    <row r="164" spans="1:18" s="24" customFormat="1" ht="31.5" hidden="1" x14ac:dyDescent="0.2">
      <c r="A164" s="44" t="s">
        <v>441</v>
      </c>
      <c r="B164" s="44" t="s">
        <v>106</v>
      </c>
      <c r="C164" s="44" t="s">
        <v>111</v>
      </c>
      <c r="D164" s="42" t="s">
        <v>127</v>
      </c>
      <c r="E164" s="212"/>
      <c r="F164" s="350"/>
      <c r="G164" s="443">
        <f t="shared" si="17"/>
        <v>0</v>
      </c>
      <c r="H164" s="446"/>
      <c r="I164" s="446"/>
      <c r="J164" s="446"/>
      <c r="K164" s="606">
        <f t="shared" si="16"/>
        <v>0</v>
      </c>
      <c r="M164" s="73"/>
      <c r="R164" s="516">
        <f>I165+H165-G165</f>
        <v>0</v>
      </c>
    </row>
    <row r="165" spans="1:18" ht="63" hidden="1" x14ac:dyDescent="0.2">
      <c r="A165" s="181" t="s">
        <v>434</v>
      </c>
      <c r="B165" s="181" t="s">
        <v>135</v>
      </c>
      <c r="C165" s="181" t="s">
        <v>136</v>
      </c>
      <c r="D165" s="50" t="s">
        <v>137</v>
      </c>
      <c r="E165" s="207"/>
      <c r="F165" s="215"/>
      <c r="G165" s="443">
        <f t="shared" si="17"/>
        <v>0</v>
      </c>
      <c r="H165" s="444"/>
      <c r="I165" s="444"/>
      <c r="J165" s="444"/>
      <c r="K165" s="606">
        <f t="shared" si="16"/>
        <v>0</v>
      </c>
      <c r="L165" s="300">
        <f>G165-H165-I165</f>
        <v>0</v>
      </c>
      <c r="M165" s="300">
        <f>G165-I165-H165</f>
        <v>0</v>
      </c>
      <c r="R165" s="516">
        <f>I166+H166-G166</f>
        <v>0</v>
      </c>
    </row>
    <row r="166" spans="1:18" ht="126" hidden="1" x14ac:dyDescent="0.2">
      <c r="A166" s="181" t="s">
        <v>435</v>
      </c>
      <c r="B166" s="181" t="s">
        <v>138</v>
      </c>
      <c r="C166" s="181" t="s">
        <v>139</v>
      </c>
      <c r="D166" s="50" t="s">
        <v>83</v>
      </c>
      <c r="E166" s="207"/>
      <c r="F166" s="215"/>
      <c r="G166" s="443">
        <f t="shared" si="17"/>
        <v>0</v>
      </c>
      <c r="H166" s="444"/>
      <c r="I166" s="444"/>
      <c r="J166" s="444"/>
      <c r="K166" s="606">
        <f t="shared" si="16"/>
        <v>0</v>
      </c>
      <c r="L166" s="300">
        <f>G166-H166-I166</f>
        <v>0</v>
      </c>
      <c r="M166" s="300">
        <f>G166-I166-H166</f>
        <v>0</v>
      </c>
      <c r="R166" s="516">
        <f>I167+H167-G167</f>
        <v>0</v>
      </c>
    </row>
    <row r="167" spans="1:18" ht="63" hidden="1" x14ac:dyDescent="0.2">
      <c r="A167" s="181" t="s">
        <v>436</v>
      </c>
      <c r="B167" s="181" t="s">
        <v>140</v>
      </c>
      <c r="C167" s="181" t="s">
        <v>136</v>
      </c>
      <c r="D167" s="50" t="s">
        <v>167</v>
      </c>
      <c r="E167" s="210" t="s">
        <v>816</v>
      </c>
      <c r="F167" s="216" t="s">
        <v>817</v>
      </c>
      <c r="G167" s="443">
        <f t="shared" si="17"/>
        <v>0</v>
      </c>
      <c r="H167" s="444"/>
      <c r="I167" s="444"/>
      <c r="J167" s="444"/>
      <c r="K167" s="606">
        <f t="shared" si="16"/>
        <v>0</v>
      </c>
      <c r="L167" s="300">
        <f>G167-H167-I167</f>
        <v>0</v>
      </c>
      <c r="M167" s="300">
        <f>G167-I167-H167</f>
        <v>0</v>
      </c>
      <c r="R167" s="516">
        <f>I168+H168-G168</f>
        <v>0</v>
      </c>
    </row>
    <row r="168" spans="1:18" s="24" customFormat="1" ht="63" hidden="1" x14ac:dyDescent="0.2">
      <c r="A168" s="181" t="s">
        <v>808</v>
      </c>
      <c r="B168" s="181" t="s">
        <v>141</v>
      </c>
      <c r="C168" s="183" t="s">
        <v>136</v>
      </c>
      <c r="D168" s="551" t="s">
        <v>376</v>
      </c>
      <c r="E168" s="210" t="s">
        <v>816</v>
      </c>
      <c r="F168" s="216" t="s">
        <v>817</v>
      </c>
      <c r="G168" s="443">
        <f t="shared" si="17"/>
        <v>0</v>
      </c>
      <c r="H168" s="444"/>
      <c r="I168" s="444"/>
      <c r="J168" s="444"/>
      <c r="K168" s="606">
        <f t="shared" si="16"/>
        <v>0</v>
      </c>
    </row>
    <row r="169" spans="1:18" s="24" customFormat="1" ht="63" hidden="1" x14ac:dyDescent="0.25">
      <c r="A169" s="181" t="s">
        <v>437</v>
      </c>
      <c r="B169" s="181" t="s">
        <v>258</v>
      </c>
      <c r="C169" s="183" t="s">
        <v>15</v>
      </c>
      <c r="D169" s="552" t="s">
        <v>65</v>
      </c>
      <c r="E169" s="194" t="s">
        <v>760</v>
      </c>
      <c r="F169" s="796" t="s">
        <v>915</v>
      </c>
      <c r="G169" s="443">
        <f t="shared" si="17"/>
        <v>0</v>
      </c>
      <c r="H169" s="563"/>
      <c r="I169" s="563"/>
      <c r="J169" s="563"/>
      <c r="K169" s="606">
        <f t="shared" si="16"/>
        <v>0</v>
      </c>
      <c r="R169" s="516">
        <f>I170+H170-G170</f>
        <v>0</v>
      </c>
    </row>
    <row r="170" spans="1:18" s="24" customFormat="1" ht="15.75" hidden="1" x14ac:dyDescent="0.2">
      <c r="A170" s="44" t="s">
        <v>443</v>
      </c>
      <c r="B170" s="44" t="s">
        <v>220</v>
      </c>
      <c r="C170" s="44" t="s">
        <v>130</v>
      </c>
      <c r="D170" s="42" t="s">
        <v>353</v>
      </c>
      <c r="E170" s="210"/>
      <c r="F170" s="216"/>
      <c r="G170" s="443">
        <f t="shared" si="17"/>
        <v>0</v>
      </c>
      <c r="H170" s="445"/>
      <c r="I170" s="445"/>
      <c r="J170" s="445"/>
      <c r="K170" s="606">
        <f t="shared" si="16"/>
        <v>0</v>
      </c>
      <c r="R170" s="516">
        <f>I171+H171-G171</f>
        <v>0</v>
      </c>
    </row>
    <row r="171" spans="1:18" s="24" customFormat="1" ht="15.75" hidden="1" x14ac:dyDescent="0.2">
      <c r="A171" s="44" t="s">
        <v>444</v>
      </c>
      <c r="B171" s="44" t="s">
        <v>407</v>
      </c>
      <c r="C171" s="44" t="s">
        <v>130</v>
      </c>
      <c r="D171" s="42" t="s">
        <v>408</v>
      </c>
      <c r="E171" s="210"/>
      <c r="F171" s="216"/>
      <c r="G171" s="443">
        <f t="shared" si="17"/>
        <v>0</v>
      </c>
      <c r="H171" s="445"/>
      <c r="I171" s="445"/>
      <c r="J171" s="445"/>
      <c r="K171" s="606">
        <f t="shared" si="16"/>
        <v>0</v>
      </c>
    </row>
    <row r="172" spans="1:18" s="24" customFormat="1" ht="47.25" hidden="1" x14ac:dyDescent="0.2">
      <c r="A172" s="181" t="s">
        <v>657</v>
      </c>
      <c r="B172" s="181" t="s">
        <v>580</v>
      </c>
      <c r="C172" s="181" t="s">
        <v>222</v>
      </c>
      <c r="D172" s="50" t="s">
        <v>615</v>
      </c>
      <c r="E172" s="264" t="s">
        <v>637</v>
      </c>
      <c r="F172" s="354"/>
      <c r="G172" s="443">
        <f t="shared" si="17"/>
        <v>0</v>
      </c>
      <c r="H172" s="443"/>
      <c r="I172" s="443"/>
      <c r="J172" s="443"/>
      <c r="K172" s="606">
        <f t="shared" si="16"/>
        <v>0</v>
      </c>
      <c r="R172" s="516">
        <f>I173+H173-G173</f>
        <v>0</v>
      </c>
    </row>
    <row r="173" spans="1:18" s="24" customFormat="1" ht="63" hidden="1" x14ac:dyDescent="0.2">
      <c r="A173" s="44" t="s">
        <v>438</v>
      </c>
      <c r="B173" s="44" t="s">
        <v>266</v>
      </c>
      <c r="C173" s="44" t="s">
        <v>233</v>
      </c>
      <c r="D173" s="42" t="s">
        <v>41</v>
      </c>
      <c r="E173" s="210" t="s">
        <v>762</v>
      </c>
      <c r="F173" s="216" t="s">
        <v>763</v>
      </c>
      <c r="G173" s="443">
        <f t="shared" si="17"/>
        <v>0</v>
      </c>
      <c r="H173" s="445"/>
      <c r="I173" s="445"/>
      <c r="J173" s="445"/>
      <c r="K173" s="606">
        <f t="shared" si="16"/>
        <v>0</v>
      </c>
      <c r="R173" s="516">
        <f>I174+H174-G174</f>
        <v>0</v>
      </c>
    </row>
    <row r="174" spans="1:18" s="24" customFormat="1" ht="63" hidden="1" x14ac:dyDescent="0.2">
      <c r="A174" s="181" t="s">
        <v>664</v>
      </c>
      <c r="B174" s="181" t="s">
        <v>195</v>
      </c>
      <c r="C174" s="181" t="s">
        <v>233</v>
      </c>
      <c r="D174" s="50" t="s">
        <v>665</v>
      </c>
      <c r="E174" s="209" t="s">
        <v>762</v>
      </c>
      <c r="F174" s="249" t="s">
        <v>763</v>
      </c>
      <c r="G174" s="443">
        <f t="shared" si="17"/>
        <v>0</v>
      </c>
      <c r="H174" s="447"/>
      <c r="I174" s="447"/>
      <c r="J174" s="447"/>
      <c r="K174" s="606">
        <f t="shared" si="16"/>
        <v>0</v>
      </c>
    </row>
    <row r="175" spans="1:18" s="24" customFormat="1" ht="63" hidden="1" x14ac:dyDescent="0.2">
      <c r="A175" s="181" t="s">
        <v>664</v>
      </c>
      <c r="B175" s="181" t="s">
        <v>195</v>
      </c>
      <c r="C175" s="181" t="s">
        <v>233</v>
      </c>
      <c r="D175" s="50" t="s">
        <v>665</v>
      </c>
      <c r="E175" s="210" t="s">
        <v>816</v>
      </c>
      <c r="F175" s="216" t="s">
        <v>817</v>
      </c>
      <c r="G175" s="443">
        <f t="shared" si="17"/>
        <v>0</v>
      </c>
      <c r="H175" s="447"/>
      <c r="I175" s="447"/>
      <c r="J175" s="447"/>
      <c r="K175" s="606">
        <f t="shared" si="16"/>
        <v>0</v>
      </c>
      <c r="R175" s="516">
        <f>I176+H176-G176</f>
        <v>0</v>
      </c>
    </row>
    <row r="176" spans="1:18" s="24" customFormat="1" ht="34.5" hidden="1" x14ac:dyDescent="0.25">
      <c r="A176" s="44" t="s">
        <v>589</v>
      </c>
      <c r="B176" s="44" t="s">
        <v>590</v>
      </c>
      <c r="C176" s="44" t="s">
        <v>411</v>
      </c>
      <c r="D176" s="258" t="s">
        <v>591</v>
      </c>
      <c r="E176" s="204"/>
      <c r="F176" s="214"/>
      <c r="G176" s="443">
        <f t="shared" si="17"/>
        <v>0</v>
      </c>
      <c r="H176" s="443"/>
      <c r="I176" s="443"/>
      <c r="J176" s="443"/>
      <c r="K176" s="606">
        <f t="shared" si="16"/>
        <v>0</v>
      </c>
    </row>
    <row r="177" spans="1:18" s="56" customFormat="1" ht="37.5" hidden="1" x14ac:dyDescent="0.2">
      <c r="A177" s="181" t="s">
        <v>445</v>
      </c>
      <c r="B177" s="181" t="s">
        <v>446</v>
      </c>
      <c r="C177" s="181" t="s">
        <v>411</v>
      </c>
      <c r="D177" s="50" t="s">
        <v>447</v>
      </c>
      <c r="E177" s="209"/>
      <c r="F177" s="249"/>
      <c r="G177" s="443">
        <f t="shared" si="17"/>
        <v>0</v>
      </c>
      <c r="H177" s="447"/>
      <c r="I177" s="447"/>
      <c r="J177" s="447"/>
      <c r="K177" s="606">
        <f t="shared" si="16"/>
        <v>0</v>
      </c>
    </row>
    <row r="178" spans="1:18" s="24" customFormat="1" ht="45" hidden="1" x14ac:dyDescent="0.2">
      <c r="A178" s="181" t="s">
        <v>448</v>
      </c>
      <c r="B178" s="181" t="s">
        <v>449</v>
      </c>
      <c r="C178" s="181" t="s">
        <v>411</v>
      </c>
      <c r="D178" s="50" t="s">
        <v>450</v>
      </c>
      <c r="E178" s="575" t="s">
        <v>980</v>
      </c>
      <c r="F178" s="548" t="s">
        <v>983</v>
      </c>
      <c r="G178" s="574">
        <f t="shared" si="17"/>
        <v>0</v>
      </c>
      <c r="H178" s="612"/>
      <c r="I178" s="612"/>
      <c r="J178" s="612"/>
      <c r="K178" s="606">
        <f t="shared" si="16"/>
        <v>0</v>
      </c>
      <c r="L178" s="73">
        <f>[1]дод3!J207</f>
        <v>200000</v>
      </c>
      <c r="M178" s="275">
        <f>L178-I178-I179-I180</f>
        <v>-12697482</v>
      </c>
    </row>
    <row r="179" spans="1:18" s="24" customFormat="1" ht="135" hidden="1" x14ac:dyDescent="0.2">
      <c r="A179" s="181" t="s">
        <v>448</v>
      </c>
      <c r="B179" s="181" t="s">
        <v>449</v>
      </c>
      <c r="C179" s="181" t="s">
        <v>411</v>
      </c>
      <c r="D179" s="50" t="s">
        <v>450</v>
      </c>
      <c r="E179" s="575" t="s">
        <v>982</v>
      </c>
      <c r="F179" s="351" t="s">
        <v>999</v>
      </c>
      <c r="G179" s="574">
        <f t="shared" si="17"/>
        <v>0</v>
      </c>
      <c r="H179" s="612"/>
      <c r="I179" s="612"/>
      <c r="J179" s="612"/>
      <c r="K179" s="606">
        <f t="shared" si="16"/>
        <v>0</v>
      </c>
      <c r="L179" s="24" t="s">
        <v>998</v>
      </c>
      <c r="O179" s="575" t="s">
        <v>980</v>
      </c>
      <c r="P179" s="351" t="s">
        <v>981</v>
      </c>
    </row>
    <row r="180" spans="1:18" s="24" customFormat="1" ht="120" x14ac:dyDescent="0.2">
      <c r="A180" s="181" t="s">
        <v>448</v>
      </c>
      <c r="B180" s="181" t="s">
        <v>449</v>
      </c>
      <c r="C180" s="181" t="s">
        <v>411</v>
      </c>
      <c r="D180" s="264" t="s">
        <v>450</v>
      </c>
      <c r="E180" s="232" t="s">
        <v>1407</v>
      </c>
      <c r="F180" s="351" t="s">
        <v>1572</v>
      </c>
      <c r="G180" s="903">
        <f t="shared" si="17"/>
        <v>12897482</v>
      </c>
      <c r="H180" s="599"/>
      <c r="I180" s="599">
        <f>11070005+1827477</f>
        <v>12897482</v>
      </c>
      <c r="J180" s="599">
        <f>11070005+1827477</f>
        <v>12897482</v>
      </c>
      <c r="K180" s="606">
        <f t="shared" si="16"/>
        <v>38692446</v>
      </c>
      <c r="L180" s="24" t="s">
        <v>998</v>
      </c>
      <c r="O180" s="575" t="s">
        <v>982</v>
      </c>
      <c r="P180" s="351" t="s">
        <v>999</v>
      </c>
    </row>
    <row r="181" spans="1:18" s="24" customFormat="1" ht="75" x14ac:dyDescent="0.2">
      <c r="A181" s="44" t="s">
        <v>592</v>
      </c>
      <c r="B181" s="44" t="s">
        <v>593</v>
      </c>
      <c r="C181" s="44" t="s">
        <v>411</v>
      </c>
      <c r="D181" s="197" t="s">
        <v>818</v>
      </c>
      <c r="E181" s="863" t="s">
        <v>1456</v>
      </c>
      <c r="F181" s="863" t="s">
        <v>1374</v>
      </c>
      <c r="G181" s="903">
        <f t="shared" si="17"/>
        <v>891228</v>
      </c>
      <c r="H181" s="599"/>
      <c r="I181" s="599">
        <v>891228</v>
      </c>
      <c r="J181" s="599">
        <v>892228</v>
      </c>
      <c r="K181" s="606">
        <f t="shared" si="16"/>
        <v>2674684</v>
      </c>
      <c r="L181" s="275">
        <f>[1]дод3!J210</f>
        <v>0</v>
      </c>
      <c r="M181" s="24" t="s">
        <v>1009</v>
      </c>
      <c r="R181" s="516">
        <f>I182+H182-G182</f>
        <v>0</v>
      </c>
    </row>
    <row r="182" spans="1:18" s="24" customFormat="1" ht="78.75" hidden="1" x14ac:dyDescent="0.2">
      <c r="A182" s="1902" t="s">
        <v>659</v>
      </c>
      <c r="B182" s="1902" t="s">
        <v>660</v>
      </c>
      <c r="C182" s="1902" t="s">
        <v>411</v>
      </c>
      <c r="D182" s="1905" t="s">
        <v>681</v>
      </c>
      <c r="E182" s="209" t="s">
        <v>691</v>
      </c>
      <c r="F182" s="249"/>
      <c r="G182" s="443">
        <f t="shared" si="17"/>
        <v>0</v>
      </c>
      <c r="H182" s="447"/>
      <c r="I182" s="447"/>
      <c r="J182" s="447"/>
      <c r="K182" s="606">
        <f t="shared" si="16"/>
        <v>0</v>
      </c>
      <c r="R182" s="516">
        <f>I183+H183-G183</f>
        <v>0</v>
      </c>
    </row>
    <row r="183" spans="1:18" s="24" customFormat="1" ht="47.25" hidden="1" x14ac:dyDescent="0.2">
      <c r="A183" s="1904"/>
      <c r="B183" s="1904"/>
      <c r="C183" s="1904"/>
      <c r="D183" s="1906"/>
      <c r="E183" s="265" t="s">
        <v>648</v>
      </c>
      <c r="F183" s="356"/>
      <c r="G183" s="443">
        <f t="shared" si="17"/>
        <v>0</v>
      </c>
      <c r="H183" s="447"/>
      <c r="I183" s="447"/>
      <c r="J183" s="447"/>
      <c r="K183" s="606">
        <f t="shared" si="16"/>
        <v>0</v>
      </c>
    </row>
    <row r="184" spans="1:18" s="24" customFormat="1" ht="47.25" x14ac:dyDescent="0.2">
      <c r="A184" s="44" t="s">
        <v>451</v>
      </c>
      <c r="B184" s="44" t="s">
        <v>279</v>
      </c>
      <c r="C184" s="44" t="s">
        <v>411</v>
      </c>
      <c r="D184" s="197" t="s">
        <v>414</v>
      </c>
      <c r="E184" s="197" t="s">
        <v>1457</v>
      </c>
      <c r="F184" s="351" t="s">
        <v>1376</v>
      </c>
      <c r="G184" s="903">
        <f t="shared" si="17"/>
        <v>11510070</v>
      </c>
      <c r="H184" s="1026"/>
      <c r="I184" s="903">
        <f>11460070+50000</f>
        <v>11510070</v>
      </c>
      <c r="J184" s="903">
        <f>11460070+50000</f>
        <v>11510070</v>
      </c>
      <c r="K184" s="606">
        <f t="shared" si="16"/>
        <v>34530210</v>
      </c>
    </row>
    <row r="185" spans="1:18" s="24" customFormat="1" ht="78.75" hidden="1" x14ac:dyDescent="0.25">
      <c r="A185" s="44" t="s">
        <v>644</v>
      </c>
      <c r="B185" s="44" t="s">
        <v>645</v>
      </c>
      <c r="C185" s="44" t="s">
        <v>224</v>
      </c>
      <c r="D185" s="455" t="s">
        <v>646</v>
      </c>
      <c r="E185" s="210" t="s">
        <v>762</v>
      </c>
      <c r="F185" s="216" t="s">
        <v>979</v>
      </c>
      <c r="G185" s="443">
        <f t="shared" si="17"/>
        <v>0</v>
      </c>
      <c r="H185" s="456"/>
      <c r="I185" s="456"/>
      <c r="J185" s="456"/>
      <c r="K185" s="606">
        <f t="shared" si="16"/>
        <v>0</v>
      </c>
    </row>
    <row r="186" spans="1:18" s="24" customFormat="1" ht="62.45" customHeight="1" x14ac:dyDescent="0.2">
      <c r="A186" s="1902" t="s">
        <v>644</v>
      </c>
      <c r="B186" s="1902" t="s">
        <v>645</v>
      </c>
      <c r="C186" s="1902" t="s">
        <v>224</v>
      </c>
      <c r="D186" s="1911" t="s">
        <v>646</v>
      </c>
      <c r="E186" s="265" t="s">
        <v>1177</v>
      </c>
      <c r="F186" s="553" t="s">
        <v>1368</v>
      </c>
      <c r="G186" s="903">
        <f>H186+I186</f>
        <v>15750884</v>
      </c>
      <c r="H186" s="599"/>
      <c r="I186" s="599">
        <f>14973107+777777</f>
        <v>15750884</v>
      </c>
      <c r="J186" s="599">
        <f>14973107+777777</f>
        <v>15750884</v>
      </c>
      <c r="K186" s="606">
        <f t="shared" si="16"/>
        <v>47252652</v>
      </c>
      <c r="M186" s="73">
        <f>G186-I186-H186</f>
        <v>0</v>
      </c>
    </row>
    <row r="187" spans="1:18" ht="62.45" customHeight="1" x14ac:dyDescent="0.2">
      <c r="A187" s="1903"/>
      <c r="B187" s="1903"/>
      <c r="C187" s="1903"/>
      <c r="D187" s="1928"/>
      <c r="E187" s="863" t="s">
        <v>1387</v>
      </c>
      <c r="F187" s="553" t="s">
        <v>1405</v>
      </c>
      <c r="G187" s="903">
        <f>H187+I187</f>
        <v>3102107</v>
      </c>
      <c r="H187" s="599"/>
      <c r="I187" s="599">
        <v>3102107</v>
      </c>
      <c r="J187" s="599">
        <v>3102107</v>
      </c>
      <c r="K187" s="606">
        <f t="shared" si="16"/>
        <v>9306321</v>
      </c>
      <c r="L187" s="300">
        <f>G187-H187-I187</f>
        <v>0</v>
      </c>
      <c r="M187" s="300">
        <f>G187-I187-H187</f>
        <v>0</v>
      </c>
      <c r="R187" s="516">
        <f>I189+H189-G189</f>
        <v>0</v>
      </c>
    </row>
    <row r="188" spans="1:18" ht="62.45" customHeight="1" x14ac:dyDescent="0.2">
      <c r="A188" s="1904"/>
      <c r="B188" s="1904"/>
      <c r="C188" s="1904"/>
      <c r="D188" s="1912"/>
      <c r="E188" s="210" t="s">
        <v>1386</v>
      </c>
      <c r="F188" s="344" t="s">
        <v>1376</v>
      </c>
      <c r="G188" s="903">
        <f t="shared" si="17"/>
        <v>7505070</v>
      </c>
      <c r="H188" s="599"/>
      <c r="I188" s="599">
        <f>8620156-1115086</f>
        <v>7505070</v>
      </c>
      <c r="J188" s="599">
        <f>8620156-1115086</f>
        <v>7505070</v>
      </c>
      <c r="K188" s="606">
        <f t="shared" si="16"/>
        <v>22515210</v>
      </c>
      <c r="L188" s="300"/>
      <c r="M188" s="300"/>
      <c r="R188" s="516"/>
    </row>
    <row r="189" spans="1:18" s="24" customFormat="1" ht="45" x14ac:dyDescent="0.2">
      <c r="A189" s="44" t="s">
        <v>594</v>
      </c>
      <c r="B189" s="44" t="s">
        <v>595</v>
      </c>
      <c r="C189" s="44" t="s">
        <v>224</v>
      </c>
      <c r="D189" s="1164" t="s">
        <v>596</v>
      </c>
      <c r="E189" s="793" t="s">
        <v>1177</v>
      </c>
      <c r="F189" s="553" t="s">
        <v>1368</v>
      </c>
      <c r="G189" s="903">
        <f t="shared" si="17"/>
        <v>800000</v>
      </c>
      <c r="H189" s="903">
        <v>800000</v>
      </c>
      <c r="I189" s="1026"/>
      <c r="J189" s="1026"/>
      <c r="K189" s="606">
        <f t="shared" si="16"/>
        <v>1600000</v>
      </c>
      <c r="M189" s="73">
        <f>G189-I189-H189</f>
        <v>0</v>
      </c>
      <c r="R189" s="516">
        <f>I191+H191-G191</f>
        <v>0</v>
      </c>
    </row>
    <row r="190" spans="1:18" s="24" customFormat="1" ht="47.25" x14ac:dyDescent="0.2">
      <c r="A190" s="387">
        <v>1617380</v>
      </c>
      <c r="B190" s="387">
        <v>7380</v>
      </c>
      <c r="C190" s="387">
        <v>490</v>
      </c>
      <c r="D190" s="392" t="s">
        <v>1864</v>
      </c>
      <c r="E190" s="232" t="s">
        <v>1407</v>
      </c>
      <c r="F190" s="553" t="s">
        <v>1372</v>
      </c>
      <c r="G190" s="574">
        <f>H190+I190</f>
        <v>7000000</v>
      </c>
      <c r="H190" s="574"/>
      <c r="I190" s="574">
        <v>7000000</v>
      </c>
      <c r="J190" s="574">
        <v>7000000</v>
      </c>
      <c r="K190" s="606">
        <f t="shared" si="16"/>
        <v>21000000</v>
      </c>
      <c r="M190" s="73"/>
      <c r="R190" s="516"/>
    </row>
    <row r="191" spans="1:18" s="800" customFormat="1" ht="75" hidden="1" x14ac:dyDescent="0.2">
      <c r="A191" s="40">
        <v>1617461</v>
      </c>
      <c r="B191" s="40">
        <v>7461</v>
      </c>
      <c r="C191" s="44" t="s">
        <v>277</v>
      </c>
      <c r="D191" s="42" t="s">
        <v>605</v>
      </c>
      <c r="E191" s="268" t="s">
        <v>775</v>
      </c>
      <c r="F191" s="42" t="s">
        <v>789</v>
      </c>
      <c r="G191" s="443">
        <f t="shared" si="17"/>
        <v>0</v>
      </c>
      <c r="H191" s="445"/>
      <c r="I191" s="445"/>
      <c r="J191" s="445"/>
      <c r="K191" s="606">
        <f t="shared" si="16"/>
        <v>0</v>
      </c>
      <c r="M191" s="801"/>
    </row>
    <row r="192" spans="1:18" s="24" customFormat="1" ht="74.45" customHeight="1" x14ac:dyDescent="0.2">
      <c r="A192" s="40">
        <v>1617462</v>
      </c>
      <c r="B192" s="40">
        <v>7462</v>
      </c>
      <c r="C192" s="44" t="s">
        <v>277</v>
      </c>
      <c r="D192" s="197" t="s">
        <v>614</v>
      </c>
      <c r="E192" s="268" t="s">
        <v>1411</v>
      </c>
      <c r="F192" s="197" t="s">
        <v>789</v>
      </c>
      <c r="G192" s="903">
        <f t="shared" si="17"/>
        <v>1335374451.8</v>
      </c>
      <c r="H192" s="1026"/>
      <c r="I192" s="599">
        <f>1226943351.8-5000000+113431100</f>
        <v>1335374451.8</v>
      </c>
      <c r="J192" s="599"/>
      <c r="K192" s="606">
        <f t="shared" si="16"/>
        <v>2670748903.5999999</v>
      </c>
      <c r="M192" s="1306"/>
    </row>
    <row r="193" spans="1:18" s="24" customFormat="1" ht="63" hidden="1" x14ac:dyDescent="0.2">
      <c r="A193" s="40">
        <v>1617462</v>
      </c>
      <c r="B193" s="40">
        <v>7462</v>
      </c>
      <c r="C193" s="44" t="s">
        <v>277</v>
      </c>
      <c r="D193" s="42" t="s">
        <v>614</v>
      </c>
      <c r="E193" s="268" t="s">
        <v>776</v>
      </c>
      <c r="F193" s="42" t="s">
        <v>790</v>
      </c>
      <c r="G193" s="443">
        <f t="shared" si="17"/>
        <v>0</v>
      </c>
      <c r="H193" s="277"/>
      <c r="I193" s="445"/>
      <c r="J193" s="445"/>
      <c r="K193" s="606">
        <f t="shared" si="16"/>
        <v>0</v>
      </c>
    </row>
    <row r="194" spans="1:18" s="24" customFormat="1" ht="77.45" customHeight="1" x14ac:dyDescent="0.2">
      <c r="A194" s="802">
        <v>1617463</v>
      </c>
      <c r="B194" s="802">
        <v>7463</v>
      </c>
      <c r="C194" s="794" t="s">
        <v>277</v>
      </c>
      <c r="D194" s="1167" t="s">
        <v>941</v>
      </c>
      <c r="E194" s="268" t="s">
        <v>1411</v>
      </c>
      <c r="F194" s="197" t="s">
        <v>789</v>
      </c>
      <c r="G194" s="903">
        <f t="shared" si="17"/>
        <v>3270620</v>
      </c>
      <c r="H194" s="1026">
        <v>3270620</v>
      </c>
      <c r="I194" s="599"/>
      <c r="J194" s="599"/>
      <c r="K194" s="606">
        <f t="shared" si="16"/>
        <v>6541240</v>
      </c>
    </row>
    <row r="195" spans="1:18" s="24" customFormat="1" ht="141.75" x14ac:dyDescent="0.2">
      <c r="A195" s="180">
        <v>1617464</v>
      </c>
      <c r="B195" s="180">
        <v>7464</v>
      </c>
      <c r="C195" s="181" t="s">
        <v>277</v>
      </c>
      <c r="D195" s="264" t="s">
        <v>709</v>
      </c>
      <c r="E195" s="268" t="s">
        <v>775</v>
      </c>
      <c r="F195" s="197" t="s">
        <v>789</v>
      </c>
      <c r="G195" s="599">
        <f t="shared" si="17"/>
        <v>3007928.25</v>
      </c>
      <c r="H195" s="1026"/>
      <c r="I195" s="599">
        <v>3007928.25</v>
      </c>
      <c r="J195" s="599"/>
      <c r="K195" s="606">
        <f t="shared" si="16"/>
        <v>6015856.5</v>
      </c>
    </row>
    <row r="196" spans="1:18" ht="60" hidden="1" x14ac:dyDescent="0.25">
      <c r="A196" s="44" t="s">
        <v>597</v>
      </c>
      <c r="B196" s="44" t="s">
        <v>598</v>
      </c>
      <c r="C196" s="44" t="s">
        <v>587</v>
      </c>
      <c r="D196" s="34" t="s">
        <v>599</v>
      </c>
      <c r="E196" s="266" t="s">
        <v>927</v>
      </c>
      <c r="F196" s="357" t="s">
        <v>772</v>
      </c>
      <c r="G196" s="443">
        <f t="shared" si="17"/>
        <v>0</v>
      </c>
      <c r="H196" s="443"/>
      <c r="I196" s="277"/>
      <c r="J196" s="277"/>
      <c r="K196" s="606">
        <f t="shared" si="16"/>
        <v>0</v>
      </c>
      <c r="L196" s="300">
        <f>G196-H196-I196</f>
        <v>0</v>
      </c>
      <c r="M196" s="300">
        <f>G196-I196-H196</f>
        <v>0</v>
      </c>
      <c r="R196" s="516">
        <f>I198+H198-G198</f>
        <v>0</v>
      </c>
    </row>
    <row r="197" spans="1:18" ht="45" hidden="1" x14ac:dyDescent="0.25">
      <c r="A197" s="44" t="s">
        <v>597</v>
      </c>
      <c r="B197" s="44" t="s">
        <v>598</v>
      </c>
      <c r="C197" s="44" t="s">
        <v>587</v>
      </c>
      <c r="D197" s="34" t="s">
        <v>599</v>
      </c>
      <c r="E197" s="266" t="s">
        <v>816</v>
      </c>
      <c r="F197" s="357" t="s">
        <v>984</v>
      </c>
      <c r="G197" s="443"/>
      <c r="H197" s="443"/>
      <c r="I197" s="277"/>
      <c r="J197" s="277"/>
      <c r="K197" s="606">
        <f t="shared" si="16"/>
        <v>0</v>
      </c>
      <c r="L197" s="300"/>
      <c r="M197" s="300"/>
      <c r="R197" s="516"/>
    </row>
    <row r="198" spans="1:18" s="24" customFormat="1" ht="15.75" hidden="1" x14ac:dyDescent="0.2">
      <c r="A198" s="44" t="s">
        <v>453</v>
      </c>
      <c r="B198" s="44" t="s">
        <v>454</v>
      </c>
      <c r="C198" s="44" t="s">
        <v>276</v>
      </c>
      <c r="D198" s="42" t="s">
        <v>243</v>
      </c>
      <c r="E198" s="204"/>
      <c r="F198" s="214"/>
      <c r="G198" s="443">
        <f t="shared" si="17"/>
        <v>0</v>
      </c>
      <c r="H198" s="443"/>
      <c r="I198" s="443"/>
      <c r="J198" s="443"/>
      <c r="K198" s="606">
        <f t="shared" si="16"/>
        <v>0</v>
      </c>
      <c r="M198" s="73">
        <f>G198-I198-H198</f>
        <v>0</v>
      </c>
    </row>
    <row r="199" spans="1:18" s="24" customFormat="1" ht="45" hidden="1" x14ac:dyDescent="0.2">
      <c r="A199" s="44" t="s">
        <v>843</v>
      </c>
      <c r="B199" s="44" t="s">
        <v>472</v>
      </c>
      <c r="C199" s="44" t="s">
        <v>224</v>
      </c>
      <c r="D199" s="494" t="s">
        <v>122</v>
      </c>
      <c r="E199" s="265" t="s">
        <v>766</v>
      </c>
      <c r="F199" s="546" t="s">
        <v>846</v>
      </c>
      <c r="G199" s="443">
        <f t="shared" si="17"/>
        <v>0</v>
      </c>
      <c r="H199" s="443"/>
      <c r="I199" s="443"/>
      <c r="J199" s="443"/>
      <c r="K199" s="606">
        <f t="shared" si="16"/>
        <v>0</v>
      </c>
      <c r="M199" s="73"/>
    </row>
    <row r="200" spans="1:18" s="24" customFormat="1" ht="47.25" x14ac:dyDescent="0.2">
      <c r="A200" s="181" t="s">
        <v>452</v>
      </c>
      <c r="B200" s="181" t="s">
        <v>296</v>
      </c>
      <c r="C200" s="181" t="s">
        <v>10</v>
      </c>
      <c r="D200" s="264" t="s">
        <v>75</v>
      </c>
      <c r="E200" s="210" t="s">
        <v>1410</v>
      </c>
      <c r="F200" s="197" t="s">
        <v>774</v>
      </c>
      <c r="G200" s="903">
        <f t="shared" si="17"/>
        <v>2029600</v>
      </c>
      <c r="H200" s="903"/>
      <c r="I200" s="903">
        <v>2029600</v>
      </c>
      <c r="J200" s="903"/>
      <c r="K200" s="606">
        <f t="shared" si="16"/>
        <v>4059200</v>
      </c>
      <c r="M200" s="73">
        <f t="shared" ref="M200:M209" si="18">G200-I200-H200</f>
        <v>0</v>
      </c>
      <c r="R200" s="516">
        <f>I201+H201-G201</f>
        <v>0</v>
      </c>
    </row>
    <row r="201" spans="1:18" ht="47.25" hidden="1" x14ac:dyDescent="0.2">
      <c r="A201" s="44" t="s">
        <v>455</v>
      </c>
      <c r="B201" s="44" t="s">
        <v>456</v>
      </c>
      <c r="C201" s="44" t="s">
        <v>29</v>
      </c>
      <c r="D201" s="42" t="s">
        <v>76</v>
      </c>
      <c r="E201" s="197" t="s">
        <v>773</v>
      </c>
      <c r="F201" s="42" t="s">
        <v>774</v>
      </c>
      <c r="G201" s="803">
        <f t="shared" si="17"/>
        <v>0</v>
      </c>
      <c r="H201" s="804"/>
      <c r="I201" s="803"/>
      <c r="J201" s="443"/>
      <c r="K201" s="606">
        <f t="shared" si="16"/>
        <v>0</v>
      </c>
      <c r="L201" s="300">
        <f t="shared" ref="L201:L207" si="19">G201-H201-I201</f>
        <v>0</v>
      </c>
      <c r="M201" s="300">
        <f t="shared" si="18"/>
        <v>0</v>
      </c>
      <c r="R201" s="516">
        <f>I202+H202-G202</f>
        <v>0</v>
      </c>
    </row>
    <row r="202" spans="1:18" ht="47.25" hidden="1" x14ac:dyDescent="0.2">
      <c r="A202" s="180">
        <v>1618313</v>
      </c>
      <c r="B202" s="180">
        <v>8313</v>
      </c>
      <c r="C202" s="181" t="s">
        <v>281</v>
      </c>
      <c r="D202" s="50" t="s">
        <v>161</v>
      </c>
      <c r="E202" s="197" t="s">
        <v>773</v>
      </c>
      <c r="F202" s="42" t="s">
        <v>774</v>
      </c>
      <c r="G202" s="443">
        <f t="shared" si="17"/>
        <v>0</v>
      </c>
      <c r="H202" s="445"/>
      <c r="I202" s="445"/>
      <c r="J202" s="445"/>
      <c r="K202" s="606">
        <f t="shared" si="16"/>
        <v>0</v>
      </c>
      <c r="L202" s="300">
        <f t="shared" si="19"/>
        <v>0</v>
      </c>
      <c r="M202" s="300">
        <f t="shared" si="18"/>
        <v>0</v>
      </c>
    </row>
    <row r="203" spans="1:18" ht="31.5" hidden="1" x14ac:dyDescent="0.2">
      <c r="A203" s="40">
        <v>1618330</v>
      </c>
      <c r="B203" s="40">
        <v>8330</v>
      </c>
      <c r="C203" s="44" t="s">
        <v>282</v>
      </c>
      <c r="D203" s="42" t="s">
        <v>457</v>
      </c>
      <c r="E203" s="53"/>
      <c r="F203" s="77"/>
      <c r="G203" s="443">
        <f>H203+I203</f>
        <v>0</v>
      </c>
      <c r="H203" s="445"/>
      <c r="I203" s="445"/>
      <c r="J203" s="445"/>
      <c r="K203" s="606">
        <f t="shared" si="16"/>
        <v>0</v>
      </c>
      <c r="L203" s="300">
        <f t="shared" si="19"/>
        <v>0</v>
      </c>
      <c r="M203" s="300">
        <f t="shared" si="18"/>
        <v>0</v>
      </c>
      <c r="R203" s="516">
        <f>I204+H204-G204</f>
        <v>0</v>
      </c>
    </row>
    <row r="204" spans="1:18" ht="31.5" hidden="1" x14ac:dyDescent="0.2">
      <c r="A204" s="44" t="s">
        <v>643</v>
      </c>
      <c r="B204" s="44" t="s">
        <v>481</v>
      </c>
      <c r="C204" s="44" t="s">
        <v>277</v>
      </c>
      <c r="D204" s="42" t="s">
        <v>482</v>
      </c>
      <c r="E204" s="53"/>
      <c r="F204" s="77"/>
      <c r="G204" s="443">
        <f>H204+I204</f>
        <v>0</v>
      </c>
      <c r="H204" s="445"/>
      <c r="I204" s="445"/>
      <c r="J204" s="445"/>
      <c r="K204" s="606">
        <f t="shared" si="16"/>
        <v>0</v>
      </c>
      <c r="L204" s="300">
        <f t="shared" si="19"/>
        <v>0</v>
      </c>
      <c r="M204" s="300">
        <f t="shared" si="18"/>
        <v>0</v>
      </c>
      <c r="R204" s="516">
        <f>I209+H209-G209</f>
        <v>0</v>
      </c>
    </row>
    <row r="205" spans="1:18" ht="126" x14ac:dyDescent="0.2">
      <c r="A205" s="44" t="s">
        <v>887</v>
      </c>
      <c r="B205" s="44" t="s">
        <v>501</v>
      </c>
      <c r="C205" s="44" t="s">
        <v>11</v>
      </c>
      <c r="D205" s="42" t="s">
        <v>667</v>
      </c>
      <c r="E205" s="268" t="s">
        <v>775</v>
      </c>
      <c r="F205" s="42" t="s">
        <v>789</v>
      </c>
      <c r="G205" s="574">
        <f>H205+I205</f>
        <v>5000000</v>
      </c>
      <c r="H205" s="445"/>
      <c r="I205" s="612">
        <v>5000000</v>
      </c>
      <c r="J205" s="445"/>
      <c r="K205" s="606">
        <f t="shared" si="16"/>
        <v>10000000</v>
      </c>
      <c r="L205" s="300">
        <f t="shared" si="19"/>
        <v>0</v>
      </c>
      <c r="M205" s="300">
        <f>G205-I205-H205</f>
        <v>0</v>
      </c>
      <c r="R205" s="516">
        <f>I206+H206-G206</f>
        <v>0</v>
      </c>
    </row>
    <row r="206" spans="1:18" ht="63" x14ac:dyDescent="0.2">
      <c r="A206" s="173" t="s">
        <v>458</v>
      </c>
      <c r="B206" s="173"/>
      <c r="C206" s="173"/>
      <c r="D206" s="1154" t="s">
        <v>44</v>
      </c>
      <c r="E206" s="198"/>
      <c r="F206" s="345"/>
      <c r="G206" s="1028">
        <f>G207</f>
        <v>1300000</v>
      </c>
      <c r="H206" s="1028">
        <f>H207</f>
        <v>1300000</v>
      </c>
      <c r="I206" s="1028">
        <f>I207</f>
        <v>0</v>
      </c>
      <c r="J206" s="1028">
        <f>J207</f>
        <v>0</v>
      </c>
      <c r="K206" s="606">
        <f t="shared" si="16"/>
        <v>2600000</v>
      </c>
      <c r="L206" s="300">
        <f t="shared" si="19"/>
        <v>0</v>
      </c>
      <c r="M206" s="300">
        <f>G206-I206-H206</f>
        <v>0</v>
      </c>
      <c r="R206" s="516">
        <f>I207+H207-G207</f>
        <v>0</v>
      </c>
    </row>
    <row r="207" spans="1:18" ht="63" x14ac:dyDescent="0.2">
      <c r="A207" s="173" t="s">
        <v>459</v>
      </c>
      <c r="B207" s="173"/>
      <c r="C207" s="173"/>
      <c r="D207" s="1154" t="s">
        <v>44</v>
      </c>
      <c r="E207" s="198"/>
      <c r="F207" s="345"/>
      <c r="G207" s="1028">
        <f>SUM(G208:G211)</f>
        <v>1300000</v>
      </c>
      <c r="H207" s="1028">
        <f>SUM(H208:H211)</f>
        <v>1300000</v>
      </c>
      <c r="I207" s="1028">
        <f>SUM(I208:I210)</f>
        <v>0</v>
      </c>
      <c r="J207" s="1028">
        <f>SUM(J208:J210)</f>
        <v>0</v>
      </c>
      <c r="K207" s="606">
        <f t="shared" si="16"/>
        <v>2600000</v>
      </c>
      <c r="L207" s="300">
        <f t="shared" si="19"/>
        <v>0</v>
      </c>
      <c r="M207" s="300">
        <f>G207-I207-H207</f>
        <v>0</v>
      </c>
      <c r="R207" s="516">
        <f>I208+H208-G208</f>
        <v>0</v>
      </c>
    </row>
    <row r="208" spans="1:18" s="24" customFormat="1" ht="63" x14ac:dyDescent="0.2">
      <c r="A208" s="166" t="s">
        <v>600</v>
      </c>
      <c r="B208" s="166" t="s">
        <v>11</v>
      </c>
      <c r="C208" s="166" t="s">
        <v>14</v>
      </c>
      <c r="D208" s="629" t="s">
        <v>302</v>
      </c>
      <c r="E208" s="197" t="s">
        <v>777</v>
      </c>
      <c r="F208" s="197" t="s">
        <v>791</v>
      </c>
      <c r="G208" s="903">
        <f>+H208+I208</f>
        <v>1300000</v>
      </c>
      <c r="H208" s="903">
        <v>1300000</v>
      </c>
      <c r="I208" s="903"/>
      <c r="J208" s="903"/>
      <c r="K208" s="606">
        <f t="shared" si="16"/>
        <v>2600000</v>
      </c>
      <c r="M208" s="73">
        <f>G208-I208-H208</f>
        <v>0</v>
      </c>
      <c r="R208" s="516" t="e">
        <f>#REF!+#REF!-#REF!</f>
        <v>#REF!</v>
      </c>
    </row>
    <row r="209" spans="1:18" ht="78.75" hidden="1" x14ac:dyDescent="0.2">
      <c r="A209" s="181" t="s">
        <v>460</v>
      </c>
      <c r="B209" s="181" t="s">
        <v>461</v>
      </c>
      <c r="C209" s="181" t="s">
        <v>134</v>
      </c>
      <c r="D209" s="50" t="s">
        <v>630</v>
      </c>
      <c r="E209" s="50" t="s">
        <v>634</v>
      </c>
      <c r="F209" s="352"/>
      <c r="G209" s="443">
        <f>H209+I209</f>
        <v>0</v>
      </c>
      <c r="H209" s="444"/>
      <c r="I209" s="444"/>
      <c r="J209" s="444"/>
      <c r="K209" s="606">
        <f t="shared" si="16"/>
        <v>0</v>
      </c>
      <c r="L209" s="300">
        <f>G209-H209-I209</f>
        <v>0</v>
      </c>
      <c r="M209" s="300">
        <f t="shared" si="18"/>
        <v>0</v>
      </c>
      <c r="R209" s="516">
        <f>I210+H210-G210</f>
        <v>0</v>
      </c>
    </row>
    <row r="210" spans="1:18" s="24" customFormat="1" ht="47.25" hidden="1" x14ac:dyDescent="0.2">
      <c r="A210" s="181" t="s">
        <v>619</v>
      </c>
      <c r="B210" s="181" t="s">
        <v>620</v>
      </c>
      <c r="C210" s="181" t="s">
        <v>9</v>
      </c>
      <c r="D210" s="50" t="s">
        <v>290</v>
      </c>
      <c r="E210" s="264" t="s">
        <v>638</v>
      </c>
      <c r="F210" s="354"/>
      <c r="G210" s="443">
        <f>H210+I210</f>
        <v>0</v>
      </c>
      <c r="H210" s="444"/>
      <c r="I210" s="444"/>
      <c r="J210" s="444"/>
      <c r="K210" s="606">
        <f t="shared" si="16"/>
        <v>0</v>
      </c>
    </row>
    <row r="211" spans="1:18" s="24" customFormat="1" ht="45" hidden="1" x14ac:dyDescent="0.2">
      <c r="A211" s="181" t="s">
        <v>845</v>
      </c>
      <c r="B211" s="181" t="s">
        <v>472</v>
      </c>
      <c r="C211" s="181" t="s">
        <v>224</v>
      </c>
      <c r="D211" s="494" t="s">
        <v>122</v>
      </c>
      <c r="E211" s="265" t="s">
        <v>766</v>
      </c>
      <c r="F211" s="546" t="s">
        <v>846</v>
      </c>
      <c r="G211" s="443"/>
      <c r="H211" s="444"/>
      <c r="I211" s="444"/>
      <c r="J211" s="444"/>
      <c r="K211" s="606">
        <f t="shared" si="16"/>
        <v>0</v>
      </c>
      <c r="R211" s="516">
        <f>I212+H212-G212</f>
        <v>0</v>
      </c>
    </row>
    <row r="212" spans="1:18" s="24" customFormat="1" ht="63" x14ac:dyDescent="0.2">
      <c r="A212" s="173" t="s">
        <v>468</v>
      </c>
      <c r="B212" s="173"/>
      <c r="C212" s="173"/>
      <c r="D212" s="1154" t="s">
        <v>694</v>
      </c>
      <c r="E212" s="198"/>
      <c r="F212" s="345"/>
      <c r="G212" s="1028">
        <f>G213</f>
        <v>4782300</v>
      </c>
      <c r="H212" s="1028">
        <f>H213</f>
        <v>4282300</v>
      </c>
      <c r="I212" s="1028">
        <f>I213</f>
        <v>500000</v>
      </c>
      <c r="J212" s="1028">
        <f>J213</f>
        <v>0</v>
      </c>
      <c r="K212" s="606">
        <f t="shared" ref="K212:K275" si="20">SUM(G212:J212)</f>
        <v>9564600</v>
      </c>
      <c r="M212" s="73">
        <f>G212-I212-H212</f>
        <v>0</v>
      </c>
      <c r="R212" s="516">
        <f>I213+H213-G213</f>
        <v>0</v>
      </c>
    </row>
    <row r="213" spans="1:18" ht="63" x14ac:dyDescent="0.2">
      <c r="A213" s="173" t="s">
        <v>469</v>
      </c>
      <c r="B213" s="173"/>
      <c r="C213" s="173"/>
      <c r="D213" s="1154" t="s">
        <v>694</v>
      </c>
      <c r="E213" s="198"/>
      <c r="F213" s="345"/>
      <c r="G213" s="1028">
        <f>SUM(G214:G221)</f>
        <v>4782300</v>
      </c>
      <c r="H213" s="1028">
        <f>SUM(H214:H221)</f>
        <v>4282300</v>
      </c>
      <c r="I213" s="1028">
        <f>SUM(I214:I221)</f>
        <v>500000</v>
      </c>
      <c r="J213" s="1028">
        <f>SUM(J214:J221)</f>
        <v>0</v>
      </c>
      <c r="K213" s="606">
        <f t="shared" si="20"/>
        <v>9564600</v>
      </c>
      <c r="L213" s="300">
        <f>G213-H213-I213</f>
        <v>0</v>
      </c>
      <c r="M213" s="300">
        <f>G213-I213-H213</f>
        <v>0</v>
      </c>
      <c r="R213" s="516">
        <f>I215+H215-G215</f>
        <v>0</v>
      </c>
    </row>
    <row r="214" spans="1:18" s="24" customFormat="1" ht="45" hidden="1" x14ac:dyDescent="0.2">
      <c r="A214" s="44" t="s">
        <v>1431</v>
      </c>
      <c r="B214" s="44" t="s">
        <v>620</v>
      </c>
      <c r="C214" s="44" t="s">
        <v>9</v>
      </c>
      <c r="D214" s="197" t="s">
        <v>290</v>
      </c>
      <c r="E214" s="267" t="s">
        <v>1177</v>
      </c>
      <c r="F214" s="553" t="s">
        <v>1368</v>
      </c>
      <c r="G214" s="599">
        <f>H214+I214</f>
        <v>0</v>
      </c>
      <c r="H214" s="599">
        <f>280000-280000</f>
        <v>0</v>
      </c>
      <c r="I214" s="599"/>
      <c r="J214" s="599"/>
      <c r="K214" s="606">
        <f t="shared" si="20"/>
        <v>0</v>
      </c>
      <c r="M214" s="73"/>
      <c r="R214" s="516"/>
    </row>
    <row r="215" spans="1:18" s="24" customFormat="1" ht="45" x14ac:dyDescent="0.2">
      <c r="A215" s="44" t="s">
        <v>697</v>
      </c>
      <c r="B215" s="44" t="s">
        <v>463</v>
      </c>
      <c r="C215" s="44" t="s">
        <v>278</v>
      </c>
      <c r="D215" s="197" t="s">
        <v>464</v>
      </c>
      <c r="E215" s="267" t="s">
        <v>1179</v>
      </c>
      <c r="F215" s="553" t="s">
        <v>1370</v>
      </c>
      <c r="G215" s="599">
        <f>+H215+I215</f>
        <v>1185345</v>
      </c>
      <c r="H215" s="599">
        <v>1185345</v>
      </c>
      <c r="I215" s="599"/>
      <c r="J215" s="599"/>
      <c r="K215" s="606">
        <f t="shared" si="20"/>
        <v>2370690</v>
      </c>
      <c r="M215" s="73">
        <f>G215-I215-H215</f>
        <v>0</v>
      </c>
      <c r="R215" s="516">
        <f>I216+H216-G216</f>
        <v>0</v>
      </c>
    </row>
    <row r="216" spans="1:18" s="24" customFormat="1" ht="31.5" hidden="1" x14ac:dyDescent="0.2">
      <c r="A216" s="44" t="s">
        <v>698</v>
      </c>
      <c r="B216" s="44" t="s">
        <v>466</v>
      </c>
      <c r="C216" s="44" t="s">
        <v>278</v>
      </c>
      <c r="D216" s="42" t="s">
        <v>467</v>
      </c>
      <c r="E216" s="210"/>
      <c r="F216" s="216"/>
      <c r="G216" s="445">
        <f>H216+I216</f>
        <v>0</v>
      </c>
      <c r="H216" s="445"/>
      <c r="I216" s="445"/>
      <c r="J216" s="445"/>
      <c r="K216" s="606">
        <f t="shared" si="20"/>
        <v>0</v>
      </c>
    </row>
    <row r="217" spans="1:18" s="24" customFormat="1" ht="47.25" hidden="1" x14ac:dyDescent="0.25">
      <c r="A217" s="44" t="s">
        <v>601</v>
      </c>
      <c r="B217" s="44" t="s">
        <v>602</v>
      </c>
      <c r="C217" s="44" t="s">
        <v>411</v>
      </c>
      <c r="D217" s="42" t="s">
        <v>603</v>
      </c>
      <c r="E217" s="266" t="s">
        <v>766</v>
      </c>
      <c r="F217" s="546" t="s">
        <v>786</v>
      </c>
      <c r="G217" s="445">
        <f>H217+I217</f>
        <v>0</v>
      </c>
      <c r="H217" s="445"/>
      <c r="I217" s="278"/>
      <c r="J217" s="278"/>
      <c r="K217" s="606">
        <f t="shared" si="20"/>
        <v>0</v>
      </c>
    </row>
    <row r="218" spans="1:18" ht="45" x14ac:dyDescent="0.2">
      <c r="A218" s="44" t="s">
        <v>647</v>
      </c>
      <c r="B218" s="44" t="s">
        <v>595</v>
      </c>
      <c r="C218" s="44" t="s">
        <v>224</v>
      </c>
      <c r="D218" s="197" t="s">
        <v>596</v>
      </c>
      <c r="E218" s="267" t="s">
        <v>1177</v>
      </c>
      <c r="F218" s="553" t="s">
        <v>1368</v>
      </c>
      <c r="G218" s="599">
        <f>+H218+I218</f>
        <v>736500</v>
      </c>
      <c r="H218" s="599">
        <v>736500</v>
      </c>
      <c r="I218" s="599"/>
      <c r="J218" s="599"/>
      <c r="K218" s="606">
        <f t="shared" si="20"/>
        <v>1473000</v>
      </c>
      <c r="M218" s="300">
        <f t="shared" ref="M218:M227" si="21">G218-I218-H218</f>
        <v>0</v>
      </c>
      <c r="R218" s="516">
        <f>I219+H219-G219</f>
        <v>0</v>
      </c>
    </row>
    <row r="219" spans="1:18" ht="45" x14ac:dyDescent="0.2">
      <c r="A219" s="44" t="s">
        <v>470</v>
      </c>
      <c r="B219" s="44" t="s">
        <v>121</v>
      </c>
      <c r="C219" s="44" t="s">
        <v>284</v>
      </c>
      <c r="D219" s="197" t="s">
        <v>189</v>
      </c>
      <c r="E219" s="267" t="s">
        <v>1177</v>
      </c>
      <c r="F219" s="553" t="s">
        <v>1368</v>
      </c>
      <c r="G219" s="599">
        <f>+H219+I219</f>
        <v>294655</v>
      </c>
      <c r="H219" s="599">
        <v>294655</v>
      </c>
      <c r="I219" s="599"/>
      <c r="J219" s="599"/>
      <c r="K219" s="606">
        <f t="shared" si="20"/>
        <v>589310</v>
      </c>
      <c r="M219" s="300">
        <f t="shared" si="21"/>
        <v>0</v>
      </c>
      <c r="R219" s="516">
        <f>I220+H220-G220</f>
        <v>0</v>
      </c>
    </row>
    <row r="220" spans="1:18" ht="45" x14ac:dyDescent="0.2">
      <c r="A220" s="44" t="s">
        <v>471</v>
      </c>
      <c r="B220" s="44" t="s">
        <v>472</v>
      </c>
      <c r="C220" s="44" t="s">
        <v>224</v>
      </c>
      <c r="D220" s="197" t="s">
        <v>122</v>
      </c>
      <c r="E220" s="267" t="s">
        <v>1177</v>
      </c>
      <c r="F220" s="553" t="s">
        <v>1368</v>
      </c>
      <c r="G220" s="599">
        <f>+H220+I220</f>
        <v>65800</v>
      </c>
      <c r="H220" s="903">
        <v>65800</v>
      </c>
      <c r="I220" s="903"/>
      <c r="J220" s="903"/>
      <c r="K220" s="606">
        <f t="shared" si="20"/>
        <v>131600</v>
      </c>
      <c r="M220" s="300">
        <f t="shared" si="21"/>
        <v>0</v>
      </c>
      <c r="R220" s="516">
        <f>I221+H221-G221</f>
        <v>0</v>
      </c>
    </row>
    <row r="221" spans="1:18" s="24" customFormat="1" ht="45" x14ac:dyDescent="0.2">
      <c r="A221" s="44" t="s">
        <v>699</v>
      </c>
      <c r="B221" s="44" t="s">
        <v>639</v>
      </c>
      <c r="C221" s="44" t="s">
        <v>56</v>
      </c>
      <c r="D221" s="197" t="s">
        <v>424</v>
      </c>
      <c r="E221" s="267" t="s">
        <v>1179</v>
      </c>
      <c r="F221" s="553" t="s">
        <v>1370</v>
      </c>
      <c r="G221" s="599">
        <f>+H221+I221</f>
        <v>2500000</v>
      </c>
      <c r="H221" s="599">
        <v>2000000</v>
      </c>
      <c r="I221" s="599">
        <v>500000</v>
      </c>
      <c r="J221" s="599"/>
      <c r="K221" s="606">
        <f t="shared" si="20"/>
        <v>5000000</v>
      </c>
      <c r="M221" s="73">
        <f t="shared" si="21"/>
        <v>0</v>
      </c>
    </row>
    <row r="222" spans="1:18" s="24" customFormat="1" ht="47.25" x14ac:dyDescent="0.2">
      <c r="A222" s="173" t="s">
        <v>473</v>
      </c>
      <c r="B222" s="173"/>
      <c r="C222" s="173"/>
      <c r="D222" s="1154" t="s">
        <v>252</v>
      </c>
      <c r="E222" s="198"/>
      <c r="F222" s="345"/>
      <c r="G222" s="1028">
        <f>G223</f>
        <v>13697472</v>
      </c>
      <c r="H222" s="1028">
        <f>H223</f>
        <v>0</v>
      </c>
      <c r="I222" s="1028">
        <f>I223</f>
        <v>13697472</v>
      </c>
      <c r="J222" s="1028">
        <f>J223</f>
        <v>167912</v>
      </c>
      <c r="K222" s="606">
        <f t="shared" si="20"/>
        <v>27562856</v>
      </c>
      <c r="M222" s="73">
        <f t="shared" si="21"/>
        <v>0</v>
      </c>
    </row>
    <row r="223" spans="1:18" s="24" customFormat="1" ht="47.25" x14ac:dyDescent="0.2">
      <c r="A223" s="173" t="s">
        <v>474</v>
      </c>
      <c r="B223" s="175"/>
      <c r="C223" s="175"/>
      <c r="D223" s="1154" t="s">
        <v>252</v>
      </c>
      <c r="E223" s="198"/>
      <c r="F223" s="345"/>
      <c r="G223" s="1028">
        <f>SUM(G224:G231)</f>
        <v>13697472</v>
      </c>
      <c r="H223" s="1028">
        <f>SUM(H224:H231)</f>
        <v>0</v>
      </c>
      <c r="I223" s="1028">
        <f>SUM(I224:I231)</f>
        <v>13697472</v>
      </c>
      <c r="J223" s="1028">
        <f>SUM(J224:J231)</f>
        <v>167912</v>
      </c>
      <c r="K223" s="606">
        <f t="shared" si="20"/>
        <v>27562856</v>
      </c>
      <c r="M223" s="73"/>
      <c r="R223" s="516">
        <f>I225+H225-G225</f>
        <v>0</v>
      </c>
    </row>
    <row r="224" spans="1:18" ht="47.25" x14ac:dyDescent="0.2">
      <c r="A224" s="44" t="s">
        <v>946</v>
      </c>
      <c r="B224" s="44" t="s">
        <v>947</v>
      </c>
      <c r="C224" s="44" t="s">
        <v>224</v>
      </c>
      <c r="D224" s="1079" t="s">
        <v>948</v>
      </c>
      <c r="E224" s="468" t="s">
        <v>1463</v>
      </c>
      <c r="F224" s="927" t="s">
        <v>1814</v>
      </c>
      <c r="G224" s="466">
        <f>H224+I224</f>
        <v>2300000</v>
      </c>
      <c r="H224" s="466"/>
      <c r="I224" s="466">
        <v>2300000</v>
      </c>
      <c r="J224" s="599"/>
      <c r="K224" s="606">
        <f t="shared" si="20"/>
        <v>4600000</v>
      </c>
      <c r="L224" s="300"/>
      <c r="M224" s="300"/>
      <c r="R224" s="516"/>
    </row>
    <row r="225" spans="1:18" ht="47.25" hidden="1" x14ac:dyDescent="0.2">
      <c r="A225" s="44" t="s">
        <v>475</v>
      </c>
      <c r="B225" s="44" t="s">
        <v>296</v>
      </c>
      <c r="C225" s="44" t="s">
        <v>10</v>
      </c>
      <c r="D225" s="39" t="s">
        <v>297</v>
      </c>
      <c r="E225" s="194" t="s">
        <v>773</v>
      </c>
      <c r="F225" s="796" t="s">
        <v>774</v>
      </c>
      <c r="G225" s="563">
        <f>H225+I225</f>
        <v>0</v>
      </c>
      <c r="H225" s="563"/>
      <c r="I225" s="563"/>
      <c r="J225" s="445"/>
      <c r="K225" s="606">
        <f t="shared" si="20"/>
        <v>0</v>
      </c>
      <c r="L225" s="300">
        <f>G225-H225-I225</f>
        <v>0</v>
      </c>
      <c r="M225" s="300">
        <f t="shared" si="21"/>
        <v>0</v>
      </c>
      <c r="R225" s="516">
        <f>I226+H226-G226</f>
        <v>0</v>
      </c>
    </row>
    <row r="226" spans="1:18" ht="47.25" hidden="1" x14ac:dyDescent="0.2">
      <c r="A226" s="181" t="s">
        <v>476</v>
      </c>
      <c r="B226" s="181" t="s">
        <v>456</v>
      </c>
      <c r="C226" s="181" t="s">
        <v>29</v>
      </c>
      <c r="D226" s="50" t="s">
        <v>76</v>
      </c>
      <c r="E226" s="194" t="s">
        <v>773</v>
      </c>
      <c r="F226" s="796" t="s">
        <v>774</v>
      </c>
      <c r="G226" s="563">
        <f>H226+I226</f>
        <v>0</v>
      </c>
      <c r="H226" s="445"/>
      <c r="I226" s="445"/>
      <c r="J226" s="445"/>
      <c r="K226" s="606">
        <f t="shared" si="20"/>
        <v>0</v>
      </c>
      <c r="L226" s="300">
        <f>G226-H226-I226</f>
        <v>0</v>
      </c>
      <c r="M226" s="300">
        <f t="shared" si="21"/>
        <v>0</v>
      </c>
      <c r="R226" s="516">
        <f>I227+H227-G227</f>
        <v>0</v>
      </c>
    </row>
    <row r="227" spans="1:18" ht="63" hidden="1" x14ac:dyDescent="0.2">
      <c r="A227" s="44" t="s">
        <v>477</v>
      </c>
      <c r="B227" s="44" t="s">
        <v>478</v>
      </c>
      <c r="C227" s="44" t="s">
        <v>281</v>
      </c>
      <c r="D227" s="42" t="s">
        <v>161</v>
      </c>
      <c r="E227" s="210" t="s">
        <v>773</v>
      </c>
      <c r="F227" s="249" t="s">
        <v>774</v>
      </c>
      <c r="G227" s="445">
        <f>+H227+I227</f>
        <v>0</v>
      </c>
      <c r="H227" s="445"/>
      <c r="I227" s="445"/>
      <c r="J227" s="445"/>
      <c r="K227" s="606">
        <f t="shared" si="20"/>
        <v>0</v>
      </c>
      <c r="L227" s="300">
        <f>G227-H227-I227</f>
        <v>0</v>
      </c>
      <c r="M227" s="300">
        <f t="shared" si="21"/>
        <v>0</v>
      </c>
      <c r="R227" s="516">
        <f>I229+H229-G229</f>
        <v>0</v>
      </c>
    </row>
    <row r="228" spans="1:18" ht="47.25" x14ac:dyDescent="0.2">
      <c r="A228" s="44" t="s">
        <v>942</v>
      </c>
      <c r="B228" s="44" t="s">
        <v>943</v>
      </c>
      <c r="C228" s="44" t="s">
        <v>945</v>
      </c>
      <c r="D228" s="1079" t="s">
        <v>944</v>
      </c>
      <c r="E228" s="210" t="s">
        <v>1410</v>
      </c>
      <c r="F228" s="216" t="s">
        <v>774</v>
      </c>
      <c r="G228" s="599">
        <f>+H228+I228</f>
        <v>550000</v>
      </c>
      <c r="H228" s="599"/>
      <c r="I228" s="599">
        <v>550000</v>
      </c>
      <c r="J228" s="599"/>
      <c r="K228" s="606">
        <f t="shared" si="20"/>
        <v>1100000</v>
      </c>
      <c r="L228" s="300"/>
      <c r="M228" s="300"/>
      <c r="R228" s="516"/>
    </row>
    <row r="229" spans="1:18" s="24" customFormat="1" ht="47.25" x14ac:dyDescent="0.2">
      <c r="A229" s="44" t="s">
        <v>612</v>
      </c>
      <c r="B229" s="44" t="s">
        <v>613</v>
      </c>
      <c r="C229" s="44" t="s">
        <v>282</v>
      </c>
      <c r="D229" s="197" t="s">
        <v>457</v>
      </c>
      <c r="E229" s="210" t="s">
        <v>1410</v>
      </c>
      <c r="F229" s="216" t="s">
        <v>774</v>
      </c>
      <c r="G229" s="599">
        <f>+H229+I229</f>
        <v>600000</v>
      </c>
      <c r="H229" s="599"/>
      <c r="I229" s="599">
        <v>600000</v>
      </c>
      <c r="J229" s="599"/>
      <c r="K229" s="606">
        <f t="shared" si="20"/>
        <v>1200000</v>
      </c>
      <c r="M229" s="73"/>
    </row>
    <row r="230" spans="1:18" s="24" customFormat="1" ht="47.25" x14ac:dyDescent="0.2">
      <c r="A230" s="44" t="s">
        <v>706</v>
      </c>
      <c r="B230" s="44" t="s">
        <v>707</v>
      </c>
      <c r="C230" s="44" t="s">
        <v>11</v>
      </c>
      <c r="D230" s="197" t="s">
        <v>692</v>
      </c>
      <c r="E230" s="210" t="s">
        <v>1410</v>
      </c>
      <c r="F230" s="351" t="s">
        <v>774</v>
      </c>
      <c r="G230" s="599">
        <f>+H230+I230</f>
        <v>10079560</v>
      </c>
      <c r="H230" s="599"/>
      <c r="I230" s="599">
        <v>10079560</v>
      </c>
      <c r="J230" s="599"/>
      <c r="K230" s="606">
        <f t="shared" si="20"/>
        <v>20159120</v>
      </c>
      <c r="L230" s="73">
        <f t="shared" ref="L230:L239" si="22">G230-H230-I230</f>
        <v>0</v>
      </c>
      <c r="M230" s="73">
        <f t="shared" ref="M230:M239" si="23">G230-I230-H230</f>
        <v>0</v>
      </c>
    </row>
    <row r="231" spans="1:18" s="24" customFormat="1" ht="110.25" x14ac:dyDescent="0.2">
      <c r="A231" s="44" t="s">
        <v>1005</v>
      </c>
      <c r="B231" s="44" t="s">
        <v>299</v>
      </c>
      <c r="C231" s="165" t="s">
        <v>11</v>
      </c>
      <c r="D231" s="34" t="s">
        <v>300</v>
      </c>
      <c r="E231" s="210" t="s">
        <v>2100</v>
      </c>
      <c r="F231" s="351" t="s">
        <v>2289</v>
      </c>
      <c r="G231" s="445">
        <f>+H231+I231</f>
        <v>167912</v>
      </c>
      <c r="H231" s="445"/>
      <c r="I231" s="445">
        <v>167912</v>
      </c>
      <c r="J231" s="445">
        <v>167912</v>
      </c>
      <c r="K231" s="606">
        <f t="shared" si="20"/>
        <v>503736</v>
      </c>
      <c r="L231" s="73"/>
      <c r="M231" s="73"/>
    </row>
    <row r="232" spans="1:18" ht="63" x14ac:dyDescent="0.2">
      <c r="A232" s="173" t="s">
        <v>225</v>
      </c>
      <c r="B232" s="173"/>
      <c r="C232" s="173"/>
      <c r="D232" s="1154" t="s">
        <v>854</v>
      </c>
      <c r="E232" s="198"/>
      <c r="F232" s="345"/>
      <c r="G232" s="1028">
        <f>H232+I232</f>
        <v>1319956</v>
      </c>
      <c r="H232" s="1028">
        <f>H234+H235+H236</f>
        <v>1319956</v>
      </c>
      <c r="I232" s="1028">
        <f>I234+I235</f>
        <v>0</v>
      </c>
      <c r="J232" s="1028"/>
      <c r="K232" s="606">
        <f t="shared" si="20"/>
        <v>2639912</v>
      </c>
      <c r="L232" s="300">
        <f t="shared" si="22"/>
        <v>0</v>
      </c>
      <c r="M232" s="300">
        <f t="shared" si="23"/>
        <v>0</v>
      </c>
      <c r="R232" s="516">
        <f t="shared" ref="R232:R239" si="24">I233+H233-G233</f>
        <v>0</v>
      </c>
    </row>
    <row r="233" spans="1:18" ht="63" x14ac:dyDescent="0.2">
      <c r="A233" s="173" t="s">
        <v>226</v>
      </c>
      <c r="B233" s="173"/>
      <c r="C233" s="173"/>
      <c r="D233" s="1154" t="s">
        <v>854</v>
      </c>
      <c r="E233" s="198"/>
      <c r="F233" s="345"/>
      <c r="G233" s="1028">
        <f>SUM(G234:G236)</f>
        <v>1379956</v>
      </c>
      <c r="H233" s="1028">
        <f>SUM(H234:H236)</f>
        <v>1319956</v>
      </c>
      <c r="I233" s="1028">
        <f>SUM(I234:I236)</f>
        <v>60000</v>
      </c>
      <c r="J233" s="1028">
        <f>SUM(J234:J236)</f>
        <v>60000</v>
      </c>
      <c r="K233" s="606">
        <f t="shared" si="20"/>
        <v>2819912</v>
      </c>
      <c r="L233" s="300"/>
      <c r="M233" s="300"/>
      <c r="R233" s="516">
        <f t="shared" si="24"/>
        <v>0</v>
      </c>
    </row>
    <row r="234" spans="1:18" ht="69" customHeight="1" x14ac:dyDescent="0.2">
      <c r="A234" s="44" t="s">
        <v>479</v>
      </c>
      <c r="B234" s="44" t="s">
        <v>480</v>
      </c>
      <c r="C234" s="44" t="s">
        <v>276</v>
      </c>
      <c r="D234" s="197" t="s">
        <v>631</v>
      </c>
      <c r="E234" s="197" t="s">
        <v>1180</v>
      </c>
      <c r="F234" s="553" t="s">
        <v>1371</v>
      </c>
      <c r="G234" s="599">
        <f>+H234+I234</f>
        <v>261000</v>
      </c>
      <c r="H234" s="599">
        <v>261000</v>
      </c>
      <c r="I234" s="1026"/>
      <c r="J234" s="1026"/>
      <c r="K234" s="606">
        <f t="shared" si="20"/>
        <v>522000</v>
      </c>
      <c r="L234" s="300">
        <f t="shared" si="22"/>
        <v>0</v>
      </c>
      <c r="M234" s="300">
        <f t="shared" si="23"/>
        <v>0</v>
      </c>
      <c r="R234" s="516">
        <f t="shared" si="24"/>
        <v>0</v>
      </c>
    </row>
    <row r="235" spans="1:18" ht="63" x14ac:dyDescent="0.2">
      <c r="A235" s="1902" t="s">
        <v>978</v>
      </c>
      <c r="B235" s="1902" t="s">
        <v>299</v>
      </c>
      <c r="C235" s="1902" t="s">
        <v>11</v>
      </c>
      <c r="D235" s="1911" t="s">
        <v>300</v>
      </c>
      <c r="E235" s="197" t="s">
        <v>1458</v>
      </c>
      <c r="F235" s="553" t="s">
        <v>1371</v>
      </c>
      <c r="G235" s="599">
        <f>H235+I235</f>
        <v>658956</v>
      </c>
      <c r="H235" s="599">
        <v>658956</v>
      </c>
      <c r="I235" s="599"/>
      <c r="J235" s="599"/>
      <c r="K235" s="606">
        <f t="shared" si="20"/>
        <v>1317912</v>
      </c>
      <c r="L235" s="300">
        <f t="shared" si="22"/>
        <v>0</v>
      </c>
      <c r="M235" s="300">
        <f t="shared" si="23"/>
        <v>0</v>
      </c>
      <c r="R235" s="516">
        <f>I237+H237-G237</f>
        <v>0</v>
      </c>
    </row>
    <row r="236" spans="1:18" ht="78.75" x14ac:dyDescent="0.2">
      <c r="A236" s="1904"/>
      <c r="B236" s="1904"/>
      <c r="C236" s="1904"/>
      <c r="D236" s="1912"/>
      <c r="E236" s="197" t="s">
        <v>1459</v>
      </c>
      <c r="F236" s="553" t="s">
        <v>1460</v>
      </c>
      <c r="G236" s="926">
        <f>H236+I236</f>
        <v>460000</v>
      </c>
      <c r="H236" s="926">
        <v>400000</v>
      </c>
      <c r="I236" s="926">
        <v>60000</v>
      </c>
      <c r="J236" s="597">
        <v>60000</v>
      </c>
      <c r="K236" s="606">
        <f t="shared" si="20"/>
        <v>980000</v>
      </c>
      <c r="L236" s="300"/>
      <c r="M236" s="300"/>
      <c r="R236" s="516"/>
    </row>
    <row r="237" spans="1:18" ht="31.5" x14ac:dyDescent="0.2">
      <c r="A237" s="173" t="s">
        <v>485</v>
      </c>
      <c r="B237" s="173"/>
      <c r="C237" s="173"/>
      <c r="D237" s="1154" t="s">
        <v>97</v>
      </c>
      <c r="E237" s="198"/>
      <c r="F237" s="345"/>
      <c r="G237" s="1028">
        <f>G238</f>
        <v>16658200</v>
      </c>
      <c r="H237" s="1028">
        <f>H238</f>
        <v>11270700</v>
      </c>
      <c r="I237" s="1028">
        <f>I238</f>
        <v>5387500</v>
      </c>
      <c r="J237" s="1028">
        <f>J238</f>
        <v>5387500</v>
      </c>
      <c r="K237" s="606">
        <f t="shared" si="20"/>
        <v>38703900</v>
      </c>
      <c r="L237" s="300">
        <f t="shared" si="22"/>
        <v>0</v>
      </c>
      <c r="M237" s="300">
        <f t="shared" si="23"/>
        <v>0</v>
      </c>
      <c r="R237" s="516">
        <f t="shared" si="24"/>
        <v>0</v>
      </c>
    </row>
    <row r="238" spans="1:18" ht="31.5" x14ac:dyDescent="0.2">
      <c r="A238" s="173" t="s">
        <v>484</v>
      </c>
      <c r="B238" s="173"/>
      <c r="C238" s="173"/>
      <c r="D238" s="1154" t="s">
        <v>97</v>
      </c>
      <c r="E238" s="198"/>
      <c r="F238" s="345"/>
      <c r="G238" s="1028">
        <f>SUM(G239:G273)</f>
        <v>16658200</v>
      </c>
      <c r="H238" s="1028">
        <f>SUM(H239:H273)</f>
        <v>11270700</v>
      </c>
      <c r="I238" s="1028">
        <f>SUM(I239:I273)</f>
        <v>5387500</v>
      </c>
      <c r="J238" s="1028">
        <f>SUM(J239:J273)</f>
        <v>5387500</v>
      </c>
      <c r="K238" s="606">
        <f t="shared" si="20"/>
        <v>38703900</v>
      </c>
      <c r="L238" s="300">
        <f t="shared" si="22"/>
        <v>0</v>
      </c>
      <c r="M238" s="300">
        <f t="shared" si="23"/>
        <v>0</v>
      </c>
      <c r="R238" s="516">
        <f t="shared" si="24"/>
        <v>0</v>
      </c>
    </row>
    <row r="239" spans="1:18" ht="15.75" hidden="1" x14ac:dyDescent="0.2">
      <c r="A239" s="44" t="s">
        <v>486</v>
      </c>
      <c r="B239" s="44" t="s">
        <v>487</v>
      </c>
      <c r="C239" s="44" t="s">
        <v>14</v>
      </c>
      <c r="D239" s="42" t="s">
        <v>216</v>
      </c>
      <c r="E239" s="210"/>
      <c r="F239" s="216"/>
      <c r="G239" s="445">
        <f>I239+H239</f>
        <v>0</v>
      </c>
      <c r="H239" s="445"/>
      <c r="I239" s="445"/>
      <c r="J239" s="445"/>
      <c r="K239" s="606">
        <f t="shared" si="20"/>
        <v>0</v>
      </c>
      <c r="L239" s="300">
        <f t="shared" si="22"/>
        <v>0</v>
      </c>
      <c r="M239" s="300">
        <f t="shared" si="23"/>
        <v>0</v>
      </c>
      <c r="R239" s="516">
        <f t="shared" si="24"/>
        <v>0</v>
      </c>
    </row>
    <row r="240" spans="1:18" s="24" customFormat="1" ht="47.25" hidden="1" x14ac:dyDescent="0.2">
      <c r="A240" s="44" t="s">
        <v>488</v>
      </c>
      <c r="B240" s="44" t="s">
        <v>30</v>
      </c>
      <c r="C240" s="44" t="s">
        <v>11</v>
      </c>
      <c r="D240" s="34" t="s">
        <v>489</v>
      </c>
      <c r="E240" s="53"/>
      <c r="F240" s="77"/>
      <c r="G240" s="445">
        <f t="shared" ref="G240:G287" si="25">I240+H240</f>
        <v>0</v>
      </c>
      <c r="H240" s="445"/>
      <c r="I240" s="445"/>
      <c r="J240" s="445"/>
      <c r="K240" s="606">
        <f t="shared" si="20"/>
        <v>0</v>
      </c>
    </row>
    <row r="241" spans="1:18" s="24" customFormat="1" ht="94.5" hidden="1" x14ac:dyDescent="0.2">
      <c r="A241" s="44" t="s">
        <v>569</v>
      </c>
      <c r="B241" s="44" t="s">
        <v>280</v>
      </c>
      <c r="C241" s="44" t="s">
        <v>11</v>
      </c>
      <c r="D241" s="34" t="s">
        <v>568</v>
      </c>
      <c r="E241" s="53"/>
      <c r="F241" s="77"/>
      <c r="G241" s="445">
        <f t="shared" si="25"/>
        <v>0</v>
      </c>
      <c r="H241" s="445"/>
      <c r="I241" s="445"/>
      <c r="J241" s="445"/>
      <c r="K241" s="606">
        <f t="shared" si="20"/>
        <v>0</v>
      </c>
      <c r="R241" s="516">
        <f t="shared" ref="R241:R247" si="26">I242+H242-G242</f>
        <v>0</v>
      </c>
    </row>
    <row r="242" spans="1:18" s="24" customFormat="1" ht="173.25" hidden="1" x14ac:dyDescent="0.2">
      <c r="A242" s="44" t="s">
        <v>496</v>
      </c>
      <c r="B242" s="44" t="s">
        <v>497</v>
      </c>
      <c r="C242" s="44" t="s">
        <v>11</v>
      </c>
      <c r="D242" s="34" t="s">
        <v>498</v>
      </c>
      <c r="E242" s="204"/>
      <c r="F242" s="214"/>
      <c r="G242" s="445">
        <f t="shared" si="25"/>
        <v>0</v>
      </c>
      <c r="H242" s="443"/>
      <c r="I242" s="443"/>
      <c r="J242" s="443"/>
      <c r="K242" s="606">
        <f t="shared" si="20"/>
        <v>0</v>
      </c>
      <c r="L242" s="73">
        <f>G242-H242-I242</f>
        <v>0</v>
      </c>
      <c r="M242" s="73">
        <f>G242-I242-H242</f>
        <v>0</v>
      </c>
      <c r="R242" s="516">
        <f t="shared" si="26"/>
        <v>0</v>
      </c>
    </row>
    <row r="243" spans="1:18" ht="94.5" hidden="1" x14ac:dyDescent="0.2">
      <c r="A243" s="44" t="s">
        <v>493</v>
      </c>
      <c r="B243" s="44" t="s">
        <v>494</v>
      </c>
      <c r="C243" s="44" t="s">
        <v>11</v>
      </c>
      <c r="D243" s="34" t="s">
        <v>495</v>
      </c>
      <c r="E243" s="204"/>
      <c r="F243" s="214"/>
      <c r="G243" s="445">
        <f t="shared" si="25"/>
        <v>0</v>
      </c>
      <c r="H243" s="443"/>
      <c r="I243" s="443"/>
      <c r="J243" s="443"/>
      <c r="K243" s="606">
        <f t="shared" si="20"/>
        <v>0</v>
      </c>
      <c r="M243" s="300">
        <f>G243-I243-H243</f>
        <v>0</v>
      </c>
      <c r="R243" s="516">
        <f t="shared" si="26"/>
        <v>0</v>
      </c>
    </row>
    <row r="244" spans="1:18" s="24" customFormat="1" ht="299.25" hidden="1" x14ac:dyDescent="0.2">
      <c r="A244" s="44" t="s">
        <v>490</v>
      </c>
      <c r="B244" s="44" t="s">
        <v>491</v>
      </c>
      <c r="C244" s="44" t="s">
        <v>11</v>
      </c>
      <c r="D244" s="35" t="s">
        <v>492</v>
      </c>
      <c r="E244" s="210"/>
      <c r="F244" s="216"/>
      <c r="G244" s="445">
        <f t="shared" si="25"/>
        <v>0</v>
      </c>
      <c r="H244" s="445"/>
      <c r="I244" s="445"/>
      <c r="J244" s="445"/>
      <c r="K244" s="606">
        <f t="shared" si="20"/>
        <v>0</v>
      </c>
      <c r="R244" s="516">
        <f t="shared" si="26"/>
        <v>0</v>
      </c>
    </row>
    <row r="245" spans="1:18" ht="346.5" hidden="1" x14ac:dyDescent="0.2">
      <c r="A245" s="247" t="s">
        <v>510</v>
      </c>
      <c r="B245" s="247" t="s">
        <v>509</v>
      </c>
      <c r="C245" s="247" t="s">
        <v>11</v>
      </c>
      <c r="D245" s="251" t="s">
        <v>511</v>
      </c>
      <c r="E245" s="252"/>
      <c r="F245" s="253"/>
      <c r="G245" s="445">
        <f t="shared" si="25"/>
        <v>0</v>
      </c>
      <c r="H245" s="444"/>
      <c r="I245" s="444"/>
      <c r="J245" s="444"/>
      <c r="K245" s="606">
        <f t="shared" si="20"/>
        <v>0</v>
      </c>
      <c r="L245" s="300">
        <f>G245-H245-I245</f>
        <v>0</v>
      </c>
      <c r="M245" s="300">
        <f>G245-I245-H245</f>
        <v>0</v>
      </c>
      <c r="R245" s="516">
        <f t="shared" si="26"/>
        <v>0</v>
      </c>
    </row>
    <row r="246" spans="1:18" ht="236.25" hidden="1" x14ac:dyDescent="0.2">
      <c r="A246" s="165" t="s">
        <v>505</v>
      </c>
      <c r="B246" s="165" t="s">
        <v>503</v>
      </c>
      <c r="C246" s="165" t="s">
        <v>11</v>
      </c>
      <c r="D246" s="36" t="s">
        <v>504</v>
      </c>
      <c r="E246" s="204"/>
      <c r="F246" s="214"/>
      <c r="G246" s="445">
        <f t="shared" si="25"/>
        <v>0</v>
      </c>
      <c r="H246" s="443"/>
      <c r="I246" s="443"/>
      <c r="J246" s="443"/>
      <c r="K246" s="606">
        <f t="shared" si="20"/>
        <v>0</v>
      </c>
      <c r="L246" s="300">
        <f>G246-H246-I246</f>
        <v>0</v>
      </c>
      <c r="M246" s="300">
        <f>G246-I246-H246</f>
        <v>0</v>
      </c>
      <c r="R246" s="516">
        <f t="shared" si="26"/>
        <v>0</v>
      </c>
    </row>
    <row r="247" spans="1:18" ht="63" hidden="1" x14ac:dyDescent="0.2">
      <c r="A247" s="165" t="s">
        <v>512</v>
      </c>
      <c r="B247" s="165" t="s">
        <v>322</v>
      </c>
      <c r="C247" s="165" t="s">
        <v>11</v>
      </c>
      <c r="D247" s="36" t="s">
        <v>323</v>
      </c>
      <c r="E247" s="51"/>
      <c r="F247" s="78"/>
      <c r="G247" s="445">
        <f t="shared" si="25"/>
        <v>0</v>
      </c>
      <c r="H247" s="443"/>
      <c r="I247" s="443"/>
      <c r="J247" s="443"/>
      <c r="K247" s="606">
        <f t="shared" si="20"/>
        <v>0</v>
      </c>
      <c r="L247" s="300">
        <f>G247-H247-I247</f>
        <v>0</v>
      </c>
      <c r="M247" s="300">
        <f>G247-I247-H247</f>
        <v>0</v>
      </c>
      <c r="R247" s="516">
        <f t="shared" si="26"/>
        <v>0</v>
      </c>
    </row>
    <row r="248" spans="1:18" s="24" customFormat="1" ht="78.75" hidden="1" x14ac:dyDescent="0.2">
      <c r="A248" s="166" t="s">
        <v>500</v>
      </c>
      <c r="B248" s="166" t="s">
        <v>501</v>
      </c>
      <c r="C248" s="166" t="s">
        <v>11</v>
      </c>
      <c r="D248" s="162" t="s">
        <v>502</v>
      </c>
      <c r="E248" s="144"/>
      <c r="F248" s="145"/>
      <c r="G248" s="445">
        <f t="shared" si="25"/>
        <v>0</v>
      </c>
      <c r="H248" s="443"/>
      <c r="I248" s="443"/>
      <c r="J248" s="443"/>
      <c r="K248" s="606">
        <f t="shared" si="20"/>
        <v>0</v>
      </c>
    </row>
    <row r="249" spans="1:18" ht="315" hidden="1" x14ac:dyDescent="0.2">
      <c r="A249" s="255">
        <v>3719610</v>
      </c>
      <c r="B249" s="255">
        <v>9610</v>
      </c>
      <c r="C249" s="166" t="s">
        <v>11</v>
      </c>
      <c r="D249" s="256" t="s">
        <v>514</v>
      </c>
      <c r="E249" s="144"/>
      <c r="F249" s="145"/>
      <c r="G249" s="445">
        <f t="shared" si="25"/>
        <v>0</v>
      </c>
      <c r="H249" s="443"/>
      <c r="I249" s="443"/>
      <c r="J249" s="443"/>
      <c r="K249" s="606">
        <f t="shared" si="20"/>
        <v>0</v>
      </c>
      <c r="L249" s="300">
        <f>G249-H249-I249</f>
        <v>0</v>
      </c>
      <c r="M249" s="300">
        <f>G249-I249-H249</f>
        <v>0</v>
      </c>
      <c r="R249" s="516">
        <f>I250+H250-G250</f>
        <v>0</v>
      </c>
    </row>
    <row r="250" spans="1:18" ht="78.75" hidden="1" x14ac:dyDescent="0.2">
      <c r="A250" s="165" t="s">
        <v>507</v>
      </c>
      <c r="B250" s="165" t="s">
        <v>506</v>
      </c>
      <c r="C250" s="165" t="s">
        <v>11</v>
      </c>
      <c r="D250" s="36" t="s">
        <v>508</v>
      </c>
      <c r="E250" s="51"/>
      <c r="F250" s="78"/>
      <c r="G250" s="445">
        <f t="shared" si="25"/>
        <v>0</v>
      </c>
      <c r="H250" s="443"/>
      <c r="I250" s="443"/>
      <c r="J250" s="443"/>
      <c r="K250" s="606">
        <f t="shared" si="20"/>
        <v>0</v>
      </c>
      <c r="L250" s="300">
        <f>G250-H250-I250</f>
        <v>0</v>
      </c>
      <c r="M250" s="300">
        <f>G250-I250-H250</f>
        <v>0</v>
      </c>
      <c r="R250" s="516">
        <f>I251+H251-G251</f>
        <v>0</v>
      </c>
    </row>
    <row r="251" spans="1:18" s="24" customFormat="1" ht="31.5" hidden="1" x14ac:dyDescent="0.2">
      <c r="A251" s="165" t="s">
        <v>609</v>
      </c>
      <c r="B251" s="165" t="s">
        <v>610</v>
      </c>
      <c r="C251" s="165" t="s">
        <v>11</v>
      </c>
      <c r="D251" s="36" t="s">
        <v>611</v>
      </c>
      <c r="E251" s="51"/>
      <c r="F251" s="78"/>
      <c r="G251" s="445">
        <f t="shared" si="25"/>
        <v>0</v>
      </c>
      <c r="H251" s="443"/>
      <c r="I251" s="443"/>
      <c r="J251" s="443"/>
      <c r="K251" s="606">
        <f t="shared" si="20"/>
        <v>0</v>
      </c>
    </row>
    <row r="252" spans="1:18" s="24" customFormat="1" ht="47.25" hidden="1" x14ac:dyDescent="0.2">
      <c r="A252" s="44" t="s">
        <v>513</v>
      </c>
      <c r="B252" s="44" t="s">
        <v>304</v>
      </c>
      <c r="C252" s="44" t="s">
        <v>11</v>
      </c>
      <c r="D252" s="41" t="s">
        <v>364</v>
      </c>
      <c r="E252" s="210" t="s">
        <v>669</v>
      </c>
      <c r="F252" s="210" t="s">
        <v>765</v>
      </c>
      <c r="G252" s="445">
        <f t="shared" si="25"/>
        <v>0</v>
      </c>
      <c r="H252" s="443"/>
      <c r="I252" s="443"/>
      <c r="J252" s="443"/>
      <c r="K252" s="606">
        <f t="shared" si="20"/>
        <v>0</v>
      </c>
    </row>
    <row r="253" spans="1:18" s="24" customFormat="1" ht="63" x14ac:dyDescent="0.2">
      <c r="A253" s="165" t="s">
        <v>499</v>
      </c>
      <c r="B253" s="165" t="s">
        <v>299</v>
      </c>
      <c r="C253" s="165" t="s">
        <v>11</v>
      </c>
      <c r="D253" s="34" t="s">
        <v>300</v>
      </c>
      <c r="E253" s="210" t="s">
        <v>1573</v>
      </c>
      <c r="F253" s="216" t="s">
        <v>1461</v>
      </c>
      <c r="G253" s="1027">
        <f t="shared" si="25"/>
        <v>8761700</v>
      </c>
      <c r="H253" s="293">
        <v>8590700</v>
      </c>
      <c r="I253" s="293">
        <v>171000</v>
      </c>
      <c r="J253" s="293">
        <v>171000</v>
      </c>
      <c r="K253" s="606">
        <f t="shared" si="20"/>
        <v>17694400</v>
      </c>
    </row>
    <row r="254" spans="1:18" s="24" customFormat="1" ht="63" hidden="1" x14ac:dyDescent="0.2">
      <c r="A254" s="165" t="s">
        <v>499</v>
      </c>
      <c r="B254" s="165" t="s">
        <v>299</v>
      </c>
      <c r="C254" s="165" t="s">
        <v>11</v>
      </c>
      <c r="D254" s="34" t="s">
        <v>300</v>
      </c>
      <c r="E254" s="210" t="s">
        <v>689</v>
      </c>
      <c r="F254" s="216" t="s">
        <v>813</v>
      </c>
      <c r="G254" s="445">
        <f t="shared" si="25"/>
        <v>0</v>
      </c>
      <c r="H254" s="443"/>
      <c r="I254" s="443"/>
      <c r="J254" s="443"/>
      <c r="K254" s="606">
        <f t="shared" si="20"/>
        <v>0</v>
      </c>
    </row>
    <row r="255" spans="1:18" s="24" customFormat="1" ht="63" x14ac:dyDescent="0.2">
      <c r="A255" s="165" t="s">
        <v>499</v>
      </c>
      <c r="B255" s="165" t="s">
        <v>299</v>
      </c>
      <c r="C255" s="165" t="s">
        <v>11</v>
      </c>
      <c r="D255" s="34" t="s">
        <v>300</v>
      </c>
      <c r="E255" s="210" t="s">
        <v>1574</v>
      </c>
      <c r="F255" s="216" t="s">
        <v>1774</v>
      </c>
      <c r="G255" s="599">
        <f t="shared" si="25"/>
        <v>7896500</v>
      </c>
      <c r="H255" s="903">
        <v>2680000</v>
      </c>
      <c r="I255" s="903">
        <v>5216500</v>
      </c>
      <c r="J255" s="903">
        <v>5216500</v>
      </c>
      <c r="K255" s="606">
        <f t="shared" si="20"/>
        <v>21009500</v>
      </c>
    </row>
    <row r="256" spans="1:18" s="24" customFormat="1" ht="63" hidden="1" x14ac:dyDescent="0.2">
      <c r="A256" s="165" t="s">
        <v>499</v>
      </c>
      <c r="B256" s="165" t="s">
        <v>299</v>
      </c>
      <c r="C256" s="165" t="s">
        <v>11</v>
      </c>
      <c r="D256" s="34" t="s">
        <v>300</v>
      </c>
      <c r="E256" s="793" t="s">
        <v>649</v>
      </c>
      <c r="F256" s="553"/>
      <c r="G256" s="445">
        <f t="shared" si="25"/>
        <v>0</v>
      </c>
      <c r="H256" s="443"/>
      <c r="I256" s="443"/>
      <c r="J256" s="443"/>
      <c r="K256" s="606">
        <f t="shared" si="20"/>
        <v>0</v>
      </c>
    </row>
    <row r="257" spans="1:18" s="24" customFormat="1" ht="15.75" hidden="1" x14ac:dyDescent="0.2">
      <c r="A257" s="165"/>
      <c r="B257" s="165"/>
      <c r="C257" s="165"/>
      <c r="D257" s="34"/>
      <c r="E257" s="51"/>
      <c r="F257" s="78"/>
      <c r="G257" s="445">
        <f t="shared" si="25"/>
        <v>0</v>
      </c>
      <c r="H257" s="443"/>
      <c r="I257" s="443"/>
      <c r="J257" s="443"/>
      <c r="K257" s="606">
        <f t="shared" si="20"/>
        <v>0</v>
      </c>
    </row>
    <row r="258" spans="1:18" s="24" customFormat="1" ht="15.75" hidden="1" x14ac:dyDescent="0.2">
      <c r="A258" s="165"/>
      <c r="B258" s="165"/>
      <c r="C258" s="165"/>
      <c r="D258" s="34"/>
      <c r="E258" s="51"/>
      <c r="F258" s="78"/>
      <c r="G258" s="445">
        <f t="shared" si="25"/>
        <v>0</v>
      </c>
      <c r="H258" s="443"/>
      <c r="I258" s="443"/>
      <c r="J258" s="443"/>
      <c r="K258" s="606">
        <f t="shared" si="20"/>
        <v>0</v>
      </c>
    </row>
    <row r="259" spans="1:18" s="24" customFormat="1" ht="15.75" hidden="1" x14ac:dyDescent="0.2">
      <c r="A259" s="165"/>
      <c r="B259" s="165"/>
      <c r="C259" s="165"/>
      <c r="D259" s="34"/>
      <c r="E259" s="51"/>
      <c r="F259" s="78"/>
      <c r="G259" s="445">
        <f t="shared" si="25"/>
        <v>0</v>
      </c>
      <c r="H259" s="443"/>
      <c r="I259" s="443"/>
      <c r="J259" s="443"/>
      <c r="K259" s="606">
        <f t="shared" si="20"/>
        <v>0</v>
      </c>
    </row>
    <row r="260" spans="1:18" s="24" customFormat="1" ht="15.75" hidden="1" x14ac:dyDescent="0.2">
      <c r="A260" s="165"/>
      <c r="B260" s="165"/>
      <c r="C260" s="165"/>
      <c r="D260" s="34"/>
      <c r="E260" s="51"/>
      <c r="F260" s="78"/>
      <c r="G260" s="445">
        <f t="shared" si="25"/>
        <v>0</v>
      </c>
      <c r="H260" s="443"/>
      <c r="I260" s="443"/>
      <c r="J260" s="443"/>
      <c r="K260" s="606">
        <f t="shared" si="20"/>
        <v>0</v>
      </c>
    </row>
    <row r="261" spans="1:18" s="24" customFormat="1" ht="15.75" hidden="1" x14ac:dyDescent="0.2">
      <c r="A261" s="165"/>
      <c r="B261" s="165"/>
      <c r="C261" s="165"/>
      <c r="D261" s="34"/>
      <c r="E261" s="51"/>
      <c r="F261" s="78"/>
      <c r="G261" s="445">
        <f t="shared" si="25"/>
        <v>0</v>
      </c>
      <c r="H261" s="443"/>
      <c r="I261" s="443"/>
      <c r="J261" s="443"/>
      <c r="K261" s="606">
        <f t="shared" si="20"/>
        <v>0</v>
      </c>
    </row>
    <row r="262" spans="1:18" ht="15.75" hidden="1" x14ac:dyDescent="0.2">
      <c r="A262" s="165"/>
      <c r="B262" s="165"/>
      <c r="C262" s="165"/>
      <c r="D262" s="34"/>
      <c r="E262" s="51"/>
      <c r="F262" s="78"/>
      <c r="G262" s="445">
        <f t="shared" si="25"/>
        <v>0</v>
      </c>
      <c r="H262" s="443"/>
      <c r="I262" s="443"/>
      <c r="J262" s="443"/>
      <c r="K262" s="606">
        <f t="shared" si="20"/>
        <v>0</v>
      </c>
      <c r="L262" s="300">
        <f>G262-H262-I262</f>
        <v>0</v>
      </c>
      <c r="M262" s="300">
        <f>G262-I262-H262</f>
        <v>0</v>
      </c>
      <c r="R262" s="516">
        <f>I263+H263-G263</f>
        <v>0</v>
      </c>
    </row>
    <row r="263" spans="1:18" s="24" customFormat="1" ht="15.75" hidden="1" x14ac:dyDescent="0.2">
      <c r="A263" s="165"/>
      <c r="B263" s="165"/>
      <c r="C263" s="165"/>
      <c r="D263" s="34"/>
      <c r="E263" s="51"/>
      <c r="F263" s="78"/>
      <c r="G263" s="445">
        <f t="shared" si="25"/>
        <v>0</v>
      </c>
      <c r="H263" s="443"/>
      <c r="I263" s="443"/>
      <c r="J263" s="443"/>
      <c r="K263" s="606">
        <f t="shared" si="20"/>
        <v>0</v>
      </c>
      <c r="M263" s="73">
        <f t="shared" ref="M263:M268" si="27">G263-I263-H263</f>
        <v>0</v>
      </c>
      <c r="R263" s="516">
        <f>I264+H264-G264</f>
        <v>0</v>
      </c>
    </row>
    <row r="264" spans="1:18" s="24" customFormat="1" ht="15.75" hidden="1" x14ac:dyDescent="0.2">
      <c r="A264" s="165"/>
      <c r="B264" s="165"/>
      <c r="C264" s="165"/>
      <c r="D264" s="34"/>
      <c r="E264" s="51"/>
      <c r="F264" s="78"/>
      <c r="G264" s="445">
        <f t="shared" si="25"/>
        <v>0</v>
      </c>
      <c r="H264" s="443"/>
      <c r="I264" s="443"/>
      <c r="J264" s="443"/>
      <c r="K264" s="606">
        <f t="shared" si="20"/>
        <v>0</v>
      </c>
      <c r="M264" s="73">
        <f t="shared" si="27"/>
        <v>0</v>
      </c>
      <c r="R264" s="516">
        <f>I265+H265-G265</f>
        <v>0</v>
      </c>
    </row>
    <row r="265" spans="1:18" s="24" customFormat="1" ht="15.75" hidden="1" x14ac:dyDescent="0.2">
      <c r="A265" s="165"/>
      <c r="B265" s="165"/>
      <c r="C265" s="165"/>
      <c r="D265" s="34"/>
      <c r="E265" s="51"/>
      <c r="F265" s="78"/>
      <c r="G265" s="445">
        <f t="shared" si="25"/>
        <v>0</v>
      </c>
      <c r="H265" s="443"/>
      <c r="I265" s="443"/>
      <c r="J265" s="443"/>
      <c r="K265" s="606">
        <f t="shared" si="20"/>
        <v>0</v>
      </c>
      <c r="M265" s="73">
        <f t="shared" si="27"/>
        <v>0</v>
      </c>
      <c r="R265" s="516">
        <f>I266+H266-G266</f>
        <v>0</v>
      </c>
    </row>
    <row r="266" spans="1:18" s="24" customFormat="1" ht="15.75" hidden="1" x14ac:dyDescent="0.2">
      <c r="A266" s="165"/>
      <c r="B266" s="165"/>
      <c r="C266" s="165"/>
      <c r="D266" s="34"/>
      <c r="E266" s="51"/>
      <c r="F266" s="78"/>
      <c r="G266" s="445">
        <f t="shared" si="25"/>
        <v>0</v>
      </c>
      <c r="H266" s="443"/>
      <c r="I266" s="443"/>
      <c r="J266" s="443"/>
      <c r="K266" s="606">
        <f t="shared" si="20"/>
        <v>0</v>
      </c>
      <c r="M266" s="73">
        <f t="shared" si="27"/>
        <v>0</v>
      </c>
      <c r="R266" s="516">
        <f>I267+H267-G267</f>
        <v>0</v>
      </c>
    </row>
    <row r="267" spans="1:18" s="24" customFormat="1" ht="15.75" hidden="1" x14ac:dyDescent="0.2">
      <c r="A267" s="165"/>
      <c r="B267" s="165"/>
      <c r="C267" s="165"/>
      <c r="D267" s="34"/>
      <c r="E267" s="51"/>
      <c r="F267" s="78"/>
      <c r="G267" s="445">
        <f t="shared" si="25"/>
        <v>0</v>
      </c>
      <c r="H267" s="443"/>
      <c r="I267" s="443"/>
      <c r="J267" s="443"/>
      <c r="K267" s="606">
        <f t="shared" si="20"/>
        <v>0</v>
      </c>
      <c r="M267" s="73">
        <f t="shared" si="27"/>
        <v>0</v>
      </c>
    </row>
    <row r="268" spans="1:18" s="24" customFormat="1" ht="15.75" hidden="1" x14ac:dyDescent="0.2">
      <c r="A268" s="165"/>
      <c r="B268" s="165"/>
      <c r="C268" s="165"/>
      <c r="D268" s="34"/>
      <c r="E268" s="51"/>
      <c r="F268" s="78"/>
      <c r="G268" s="445">
        <f t="shared" si="25"/>
        <v>0</v>
      </c>
      <c r="H268" s="443"/>
      <c r="I268" s="443"/>
      <c r="J268" s="443"/>
      <c r="K268" s="606">
        <f t="shared" si="20"/>
        <v>0</v>
      </c>
      <c r="M268" s="73">
        <f t="shared" si="27"/>
        <v>0</v>
      </c>
    </row>
    <row r="269" spans="1:18" s="24" customFormat="1" ht="15.75" hidden="1" x14ac:dyDescent="0.2">
      <c r="A269" s="165"/>
      <c r="B269" s="165"/>
      <c r="C269" s="165"/>
      <c r="D269" s="34"/>
      <c r="E269" s="51"/>
      <c r="F269" s="78"/>
      <c r="G269" s="445">
        <f t="shared" si="25"/>
        <v>0</v>
      </c>
      <c r="H269" s="443"/>
      <c r="I269" s="443"/>
      <c r="J269" s="443"/>
      <c r="K269" s="606">
        <f t="shared" si="20"/>
        <v>0</v>
      </c>
    </row>
    <row r="270" spans="1:18" s="24" customFormat="1" ht="15.75" hidden="1" x14ac:dyDescent="0.2">
      <c r="A270" s="165"/>
      <c r="B270" s="165"/>
      <c r="C270" s="165"/>
      <c r="D270" s="34"/>
      <c r="E270" s="51"/>
      <c r="F270" s="78"/>
      <c r="G270" s="445">
        <f t="shared" si="25"/>
        <v>0</v>
      </c>
      <c r="H270" s="443"/>
      <c r="I270" s="443"/>
      <c r="J270" s="443"/>
      <c r="K270" s="606">
        <f t="shared" si="20"/>
        <v>0</v>
      </c>
    </row>
    <row r="271" spans="1:18" s="24" customFormat="1" ht="15.75" hidden="1" x14ac:dyDescent="0.2">
      <c r="A271" s="165"/>
      <c r="B271" s="165"/>
      <c r="C271" s="165"/>
      <c r="D271" s="34"/>
      <c r="E271" s="51"/>
      <c r="F271" s="78"/>
      <c r="G271" s="445">
        <f t="shared" si="25"/>
        <v>0</v>
      </c>
      <c r="H271" s="443"/>
      <c r="I271" s="443"/>
      <c r="J271" s="443"/>
      <c r="K271" s="606">
        <f t="shared" si="20"/>
        <v>0</v>
      </c>
    </row>
    <row r="272" spans="1:18" s="24" customFormat="1" ht="15.75" hidden="1" x14ac:dyDescent="0.2">
      <c r="A272" s="165"/>
      <c r="B272" s="165"/>
      <c r="C272" s="165"/>
      <c r="D272" s="34"/>
      <c r="E272" s="51"/>
      <c r="F272" s="78"/>
      <c r="G272" s="445">
        <f t="shared" si="25"/>
        <v>0</v>
      </c>
      <c r="H272" s="443"/>
      <c r="I272" s="443"/>
      <c r="J272" s="443"/>
      <c r="K272" s="606">
        <f t="shared" si="20"/>
        <v>0</v>
      </c>
    </row>
    <row r="273" spans="1:18" s="24" customFormat="1" ht="63" hidden="1" x14ac:dyDescent="0.25">
      <c r="A273" s="165" t="s">
        <v>499</v>
      </c>
      <c r="B273" s="165" t="s">
        <v>299</v>
      </c>
      <c r="C273" s="165" t="s">
        <v>11</v>
      </c>
      <c r="D273" s="34" t="s">
        <v>300</v>
      </c>
      <c r="E273" s="266" t="s">
        <v>766</v>
      </c>
      <c r="F273" s="546" t="s">
        <v>853</v>
      </c>
      <c r="G273" s="445">
        <f t="shared" si="25"/>
        <v>0</v>
      </c>
      <c r="H273" s="443"/>
      <c r="I273" s="443"/>
      <c r="J273" s="443"/>
      <c r="K273" s="606">
        <f t="shared" si="20"/>
        <v>0</v>
      </c>
    </row>
    <row r="274" spans="1:18" s="24" customFormat="1" ht="15.75" hidden="1" x14ac:dyDescent="0.2">
      <c r="A274" s="165"/>
      <c r="B274" s="165"/>
      <c r="C274" s="165"/>
      <c r="D274" s="34"/>
      <c r="E274" s="51"/>
      <c r="F274" s="78"/>
      <c r="G274" s="445">
        <f t="shared" si="25"/>
        <v>0</v>
      </c>
      <c r="H274" s="443"/>
      <c r="I274" s="443"/>
      <c r="J274" s="443"/>
      <c r="K274" s="606">
        <f t="shared" si="20"/>
        <v>0</v>
      </c>
    </row>
    <row r="275" spans="1:18" s="24" customFormat="1" ht="15.75" hidden="1" x14ac:dyDescent="0.2">
      <c r="A275" s="165"/>
      <c r="B275" s="165"/>
      <c r="C275" s="165"/>
      <c r="D275" s="34"/>
      <c r="E275" s="51"/>
      <c r="F275" s="78"/>
      <c r="G275" s="445">
        <f t="shared" si="25"/>
        <v>0</v>
      </c>
      <c r="H275" s="443"/>
      <c r="I275" s="443"/>
      <c r="J275" s="443"/>
      <c r="K275" s="606">
        <f t="shared" si="20"/>
        <v>0</v>
      </c>
    </row>
    <row r="276" spans="1:18" s="24" customFormat="1" ht="15.75" hidden="1" x14ac:dyDescent="0.2">
      <c r="A276" s="165"/>
      <c r="B276" s="165"/>
      <c r="C276" s="165"/>
      <c r="D276" s="34"/>
      <c r="E276" s="51"/>
      <c r="F276" s="78"/>
      <c r="G276" s="445">
        <f t="shared" si="25"/>
        <v>0</v>
      </c>
      <c r="H276" s="443"/>
      <c r="I276" s="443"/>
      <c r="J276" s="443"/>
      <c r="K276" s="606">
        <f t="shared" ref="K276:K288" si="28">SUM(G276:J276)</f>
        <v>0</v>
      </c>
    </row>
    <row r="277" spans="1:18" s="24" customFormat="1" ht="15.75" hidden="1" x14ac:dyDescent="0.2">
      <c r="A277" s="165"/>
      <c r="B277" s="165"/>
      <c r="C277" s="165"/>
      <c r="D277" s="34"/>
      <c r="E277" s="51"/>
      <c r="F277" s="78"/>
      <c r="G277" s="445">
        <f t="shared" si="25"/>
        <v>0</v>
      </c>
      <c r="H277" s="443"/>
      <c r="I277" s="443"/>
      <c r="J277" s="443"/>
      <c r="K277" s="606">
        <f t="shared" si="28"/>
        <v>0</v>
      </c>
    </row>
    <row r="278" spans="1:18" s="24" customFormat="1" ht="15.75" hidden="1" x14ac:dyDescent="0.2">
      <c r="A278" s="165"/>
      <c r="B278" s="165"/>
      <c r="C278" s="165"/>
      <c r="D278" s="34"/>
      <c r="E278" s="51"/>
      <c r="F278" s="78"/>
      <c r="G278" s="445">
        <f t="shared" si="25"/>
        <v>0</v>
      </c>
      <c r="H278" s="443"/>
      <c r="I278" s="443"/>
      <c r="J278" s="443"/>
      <c r="K278" s="606">
        <f t="shared" si="28"/>
        <v>0</v>
      </c>
    </row>
    <row r="279" spans="1:18" s="24" customFormat="1" ht="15.75" hidden="1" x14ac:dyDescent="0.2">
      <c r="A279" s="165"/>
      <c r="B279" s="165"/>
      <c r="C279" s="165"/>
      <c r="D279" s="34"/>
      <c r="E279" s="51"/>
      <c r="F279" s="78"/>
      <c r="G279" s="445">
        <f t="shared" si="25"/>
        <v>0</v>
      </c>
      <c r="H279" s="443"/>
      <c r="I279" s="443"/>
      <c r="J279" s="443"/>
      <c r="K279" s="606">
        <f t="shared" si="28"/>
        <v>0</v>
      </c>
    </row>
    <row r="280" spans="1:18" s="24" customFormat="1" ht="15.75" hidden="1" x14ac:dyDescent="0.2">
      <c r="A280" s="165"/>
      <c r="B280" s="165"/>
      <c r="C280" s="165"/>
      <c r="D280" s="34"/>
      <c r="E280" s="51"/>
      <c r="F280" s="78"/>
      <c r="G280" s="445">
        <f t="shared" si="25"/>
        <v>0</v>
      </c>
      <c r="H280" s="443"/>
      <c r="I280" s="443"/>
      <c r="J280" s="443"/>
      <c r="K280" s="606">
        <f t="shared" si="28"/>
        <v>0</v>
      </c>
    </row>
    <row r="281" spans="1:18" s="24" customFormat="1" ht="15.75" hidden="1" x14ac:dyDescent="0.2">
      <c r="A281" s="165"/>
      <c r="B281" s="165"/>
      <c r="C281" s="165"/>
      <c r="D281" s="34"/>
      <c r="E281" s="51"/>
      <c r="F281" s="78"/>
      <c r="G281" s="445">
        <f t="shared" si="25"/>
        <v>0</v>
      </c>
      <c r="H281" s="443"/>
      <c r="I281" s="443"/>
      <c r="J281" s="443"/>
      <c r="K281" s="606">
        <f t="shared" si="28"/>
        <v>0</v>
      </c>
    </row>
    <row r="282" spans="1:18" s="24" customFormat="1" ht="15.75" hidden="1" x14ac:dyDescent="0.2">
      <c r="A282" s="165"/>
      <c r="B282" s="165"/>
      <c r="C282" s="165"/>
      <c r="D282" s="34"/>
      <c r="E282" s="51"/>
      <c r="F282" s="78"/>
      <c r="G282" s="445">
        <f t="shared" si="25"/>
        <v>0</v>
      </c>
      <c r="H282" s="443"/>
      <c r="I282" s="443"/>
      <c r="J282" s="443"/>
      <c r="K282" s="606">
        <f t="shared" si="28"/>
        <v>0</v>
      </c>
    </row>
    <row r="283" spans="1:18" s="24" customFormat="1" ht="15.75" hidden="1" x14ac:dyDescent="0.2">
      <c r="A283" s="165"/>
      <c r="B283" s="165"/>
      <c r="C283" s="165"/>
      <c r="D283" s="34"/>
      <c r="E283" s="51"/>
      <c r="F283" s="78"/>
      <c r="G283" s="445">
        <f t="shared" si="25"/>
        <v>0</v>
      </c>
      <c r="H283" s="443"/>
      <c r="I283" s="443"/>
      <c r="J283" s="443"/>
      <c r="K283" s="606">
        <f t="shared" si="28"/>
        <v>0</v>
      </c>
    </row>
    <row r="284" spans="1:18" s="24" customFormat="1" ht="15.75" hidden="1" x14ac:dyDescent="0.2">
      <c r="A284" s="165"/>
      <c r="B284" s="165"/>
      <c r="C284" s="165"/>
      <c r="D284" s="34"/>
      <c r="E284" s="51"/>
      <c r="F284" s="78"/>
      <c r="G284" s="445">
        <f t="shared" si="25"/>
        <v>0</v>
      </c>
      <c r="H284" s="443"/>
      <c r="I284" s="443"/>
      <c r="J284" s="443"/>
      <c r="K284" s="606">
        <f t="shared" si="28"/>
        <v>0</v>
      </c>
    </row>
    <row r="285" spans="1:18" s="24" customFormat="1" ht="15.75" hidden="1" x14ac:dyDescent="0.2">
      <c r="A285" s="165"/>
      <c r="B285" s="165"/>
      <c r="C285" s="165"/>
      <c r="D285" s="34"/>
      <c r="E285" s="51"/>
      <c r="F285" s="78"/>
      <c r="G285" s="445">
        <f t="shared" si="25"/>
        <v>0</v>
      </c>
      <c r="H285" s="443"/>
      <c r="I285" s="443"/>
      <c r="J285" s="443"/>
      <c r="K285" s="606">
        <f t="shared" si="28"/>
        <v>0</v>
      </c>
      <c r="R285" s="516">
        <f>I286+H286-G286</f>
        <v>0</v>
      </c>
    </row>
    <row r="286" spans="1:18" s="24" customFormat="1" ht="15.75" hidden="1" x14ac:dyDescent="0.2">
      <c r="A286" s="165"/>
      <c r="B286" s="165"/>
      <c r="C286" s="165"/>
      <c r="D286" s="34"/>
      <c r="E286" s="51"/>
      <c r="F286" s="78"/>
      <c r="G286" s="445">
        <f t="shared" si="25"/>
        <v>0</v>
      </c>
      <c r="H286" s="443"/>
      <c r="I286" s="443"/>
      <c r="J286" s="443"/>
      <c r="K286" s="606">
        <f t="shared" si="28"/>
        <v>0</v>
      </c>
    </row>
    <row r="287" spans="1:18" s="24" customFormat="1" ht="15.75" hidden="1" x14ac:dyDescent="0.2">
      <c r="A287" s="165"/>
      <c r="B287" s="165"/>
      <c r="C287" s="165"/>
      <c r="D287" s="34"/>
      <c r="E287" s="51"/>
      <c r="F287" s="78"/>
      <c r="G287" s="445">
        <f t="shared" si="25"/>
        <v>0</v>
      </c>
      <c r="H287" s="443"/>
      <c r="I287" s="443"/>
      <c r="J287" s="443"/>
      <c r="K287" s="606">
        <f t="shared" si="28"/>
        <v>0</v>
      </c>
    </row>
    <row r="288" spans="1:18" s="24" customFormat="1" ht="18.75" x14ac:dyDescent="0.2">
      <c r="A288" s="173" t="s">
        <v>746</v>
      </c>
      <c r="B288" s="173" t="s">
        <v>746</v>
      </c>
      <c r="C288" s="173" t="s">
        <v>746</v>
      </c>
      <c r="D288" s="179" t="s">
        <v>753</v>
      </c>
      <c r="E288" s="365" t="s">
        <v>746</v>
      </c>
      <c r="F288" s="366" t="s">
        <v>746</v>
      </c>
      <c r="G288" s="922">
        <f>+G12+G28+G36+G57+G76+G103+G232+G110+G206+G154+G237+G212+G222</f>
        <v>2013556300.05</v>
      </c>
      <c r="H288" s="922">
        <f>+H12+H28+H36+H57+H76+H103+H232+H110+H206+H154+H237+H212+H222</f>
        <v>486208070</v>
      </c>
      <c r="I288" s="922">
        <f>+I12+I28+I36+I57+I76+I103+I232+I110+I206+I154+I237+I212+I222</f>
        <v>1527348230.05</v>
      </c>
      <c r="J288" s="922">
        <f>+J12+J28+J36+J57+J76+J103+J232+J110+J206+J154+J237+J212+J222</f>
        <v>161717487</v>
      </c>
      <c r="K288" s="606">
        <f t="shared" si="28"/>
        <v>4188830087.1000004</v>
      </c>
    </row>
    <row r="289" spans="1:255" hidden="1" x14ac:dyDescent="0.2">
      <c r="H289" s="457"/>
      <c r="I289" s="457"/>
      <c r="J289" s="457"/>
      <c r="K289" s="606">
        <f>SUM(G289:H289)</f>
        <v>0</v>
      </c>
      <c r="M289" s="300"/>
    </row>
    <row r="290" spans="1:255" x14ac:dyDescent="0.2">
      <c r="H290" s="457"/>
      <c r="I290" s="457"/>
      <c r="J290" s="457"/>
      <c r="K290" s="606">
        <v>1</v>
      </c>
      <c r="M290" s="300"/>
    </row>
    <row r="291" spans="1:255" ht="19.899999999999999" customHeight="1" x14ac:dyDescent="0.3">
      <c r="A291" s="128" t="s">
        <v>174</v>
      </c>
      <c r="B291" s="1009"/>
      <c r="C291" s="243"/>
      <c r="D291" s="244"/>
      <c r="E291" s="242"/>
      <c r="H291" s="14"/>
      <c r="I291" s="128" t="s">
        <v>1171</v>
      </c>
      <c r="J291" s="1055"/>
      <c r="K291" s="606">
        <v>1</v>
      </c>
      <c r="L291" s="128"/>
      <c r="M291" s="300"/>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6"/>
      <c r="BU291" s="76"/>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6"/>
      <c r="DJ291" s="76"/>
      <c r="DK291" s="76"/>
      <c r="DL291" s="76"/>
      <c r="DM291" s="76"/>
      <c r="DN291" s="76"/>
      <c r="DO291" s="76"/>
      <c r="DP291" s="76"/>
      <c r="DQ291" s="76"/>
      <c r="DR291" s="76"/>
      <c r="DS291" s="76"/>
      <c r="DT291" s="76"/>
      <c r="DU291" s="76"/>
      <c r="DV291" s="76"/>
      <c r="DW291" s="76"/>
      <c r="DX291" s="76"/>
      <c r="DY291" s="76"/>
      <c r="DZ291" s="76"/>
      <c r="EA291" s="76"/>
      <c r="EB291" s="76"/>
      <c r="EC291" s="76"/>
      <c r="ED291" s="76"/>
      <c r="EE291" s="76"/>
      <c r="EF291" s="76"/>
      <c r="EG291" s="76"/>
      <c r="EH291" s="76"/>
      <c r="EI291" s="76"/>
      <c r="EJ291" s="76"/>
      <c r="EK291" s="76"/>
      <c r="EL291" s="76"/>
      <c r="EM291" s="76"/>
      <c r="EN291" s="76"/>
      <c r="EO291" s="76"/>
      <c r="EP291" s="76"/>
      <c r="EQ291" s="76"/>
      <c r="ER291" s="76"/>
      <c r="ES291" s="76"/>
      <c r="ET291" s="76"/>
      <c r="EU291" s="76"/>
      <c r="EV291" s="76"/>
      <c r="EW291" s="76"/>
      <c r="EX291" s="76"/>
      <c r="EY291" s="76"/>
      <c r="EZ291" s="76"/>
      <c r="FA291" s="76"/>
      <c r="FB291" s="76"/>
      <c r="FC291" s="76"/>
      <c r="FD291" s="76"/>
      <c r="FE291" s="76"/>
      <c r="FF291" s="76"/>
      <c r="FG291" s="76"/>
      <c r="FH291" s="76"/>
      <c r="FI291" s="76"/>
      <c r="FJ291" s="76"/>
      <c r="FK291" s="76"/>
      <c r="FL291" s="76"/>
      <c r="FM291" s="76"/>
      <c r="FN291" s="76"/>
      <c r="FO291" s="76"/>
      <c r="FP291" s="76"/>
      <c r="FQ291" s="76"/>
      <c r="FR291" s="76"/>
      <c r="FS291" s="76"/>
      <c r="FT291" s="76"/>
      <c r="FU291" s="76"/>
      <c r="FV291" s="76"/>
      <c r="FW291" s="76"/>
      <c r="FX291" s="76"/>
      <c r="FY291" s="76"/>
      <c r="FZ291" s="76"/>
      <c r="GA291" s="76"/>
      <c r="GB291" s="76"/>
      <c r="GC291" s="76"/>
      <c r="GD291" s="76"/>
      <c r="GE291" s="76"/>
      <c r="GF291" s="76"/>
      <c r="GG291" s="76"/>
      <c r="GH291" s="76"/>
      <c r="GI291" s="76"/>
      <c r="GJ291" s="76"/>
      <c r="GK291" s="76"/>
      <c r="GL291" s="76"/>
      <c r="GM291" s="76"/>
      <c r="GN291" s="76"/>
      <c r="GO291" s="76"/>
      <c r="GP291" s="76"/>
      <c r="GQ291" s="76"/>
      <c r="GR291" s="76"/>
      <c r="GS291" s="76"/>
      <c r="GT291" s="76"/>
      <c r="GU291" s="76"/>
      <c r="GV291" s="76"/>
      <c r="GW291" s="76"/>
      <c r="GX291" s="76"/>
      <c r="GY291" s="76"/>
      <c r="GZ291" s="76"/>
      <c r="HA291" s="76"/>
      <c r="HB291" s="76"/>
      <c r="HC291" s="76"/>
      <c r="HD291" s="76"/>
      <c r="HE291" s="76"/>
      <c r="HF291" s="76"/>
      <c r="HG291" s="76"/>
      <c r="HH291" s="76"/>
      <c r="HI291" s="76"/>
      <c r="HJ291" s="76"/>
      <c r="HK291" s="76"/>
      <c r="HL291" s="76"/>
      <c r="HM291" s="76"/>
      <c r="HN291" s="76"/>
      <c r="HO291" s="76"/>
      <c r="HP291" s="76"/>
      <c r="HQ291" s="76"/>
      <c r="HR291" s="76"/>
      <c r="HS291" s="76"/>
      <c r="HT291" s="76"/>
      <c r="HU291" s="76"/>
      <c r="HV291" s="76"/>
      <c r="HW291" s="76"/>
      <c r="HX291" s="76"/>
      <c r="HY291" s="76"/>
      <c r="HZ291" s="76"/>
      <c r="IA291" s="76"/>
      <c r="IB291" s="76"/>
      <c r="IC291" s="76"/>
      <c r="ID291" s="76"/>
      <c r="IE291" s="76"/>
      <c r="IF291" s="76"/>
      <c r="IG291" s="76"/>
      <c r="IH291" s="76"/>
      <c r="II291" s="76"/>
      <c r="IJ291" s="76"/>
      <c r="IK291" s="76"/>
      <c r="IL291" s="76"/>
      <c r="IM291" s="76"/>
      <c r="IN291" s="76"/>
      <c r="IO291" s="76"/>
      <c r="IP291" s="76"/>
      <c r="IQ291" s="76"/>
      <c r="IR291" s="76"/>
      <c r="IS291" s="76"/>
      <c r="IT291" s="76"/>
      <c r="IU291" s="76"/>
    </row>
    <row r="292" spans="1:255" s="24" customFormat="1" hidden="1" x14ac:dyDescent="0.2">
      <c r="H292" s="30"/>
      <c r="I292" s="30"/>
      <c r="J292" s="30"/>
    </row>
    <row r="293" spans="1:255" s="24" customFormat="1" hidden="1" x14ac:dyDescent="0.2">
      <c r="H293" s="30"/>
      <c r="I293" s="30"/>
      <c r="J293" s="30"/>
    </row>
    <row r="294" spans="1:255" s="24" customFormat="1" hidden="1" x14ac:dyDescent="0.2">
      <c r="H294" s="30"/>
      <c r="I294" s="30"/>
      <c r="J294" s="30"/>
    </row>
    <row r="295" spans="1:255" s="24" customFormat="1" hidden="1" x14ac:dyDescent="0.2">
      <c r="H295" s="30"/>
      <c r="I295" s="30"/>
      <c r="J295" s="30"/>
    </row>
    <row r="296" spans="1:255" s="24" customFormat="1" hidden="1" x14ac:dyDescent="0.2">
      <c r="H296" s="30"/>
      <c r="I296" s="30"/>
      <c r="J296" s="30"/>
    </row>
    <row r="297" spans="1:255" s="24" customFormat="1" hidden="1" x14ac:dyDescent="0.2">
      <c r="H297" s="30"/>
      <c r="I297" s="30"/>
      <c r="J297" s="30"/>
    </row>
    <row r="298" spans="1:255" s="24" customFormat="1" hidden="1" x14ac:dyDescent="0.2">
      <c r="H298" s="30"/>
      <c r="I298" s="30"/>
      <c r="J298" s="30"/>
    </row>
    <row r="299" spans="1:255" s="24" customFormat="1" hidden="1" x14ac:dyDescent="0.2">
      <c r="H299" s="30"/>
      <c r="I299" s="30"/>
      <c r="J299" s="30"/>
    </row>
    <row r="300" spans="1:255" s="24" customFormat="1" hidden="1" x14ac:dyDescent="0.2">
      <c r="H300" s="30"/>
      <c r="I300" s="30"/>
      <c r="J300" s="30"/>
    </row>
    <row r="301" spans="1:255" s="24" customFormat="1" hidden="1" x14ac:dyDescent="0.2">
      <c r="H301" s="30"/>
      <c r="I301" s="30"/>
      <c r="J301" s="30"/>
    </row>
    <row r="302" spans="1:255" s="24" customFormat="1" hidden="1" x14ac:dyDescent="0.2">
      <c r="H302" s="30"/>
      <c r="I302" s="30"/>
      <c r="J302" s="30"/>
    </row>
    <row r="303" spans="1:255" s="24" customFormat="1" hidden="1" x14ac:dyDescent="0.2">
      <c r="H303" s="30"/>
      <c r="I303" s="30"/>
      <c r="J303" s="30"/>
    </row>
    <row r="304" spans="1:255" s="24" customFormat="1" hidden="1" x14ac:dyDescent="0.2">
      <c r="H304" s="30"/>
      <c r="I304" s="30"/>
      <c r="J304" s="30"/>
    </row>
    <row r="305" spans="8:10" s="24" customFormat="1" hidden="1" x14ac:dyDescent="0.2">
      <c r="H305" s="30"/>
      <c r="I305" s="30"/>
      <c r="J305" s="30"/>
    </row>
    <row r="306" spans="8:10" s="24" customFormat="1" hidden="1" x14ac:dyDescent="0.2">
      <c r="H306" s="30"/>
      <c r="I306" s="30"/>
      <c r="J306" s="30"/>
    </row>
    <row r="307" spans="8:10" s="24" customFormat="1" hidden="1" x14ac:dyDescent="0.2">
      <c r="H307" s="30"/>
      <c r="I307" s="30"/>
      <c r="J307" s="30"/>
    </row>
    <row r="308" spans="8:10" s="24" customFormat="1" hidden="1" x14ac:dyDescent="0.2">
      <c r="H308" s="30"/>
      <c r="I308" s="30"/>
      <c r="J308" s="30"/>
    </row>
    <row r="309" spans="8:10" s="24" customFormat="1" hidden="1" x14ac:dyDescent="0.2">
      <c r="H309" s="30"/>
      <c r="I309" s="30"/>
      <c r="J309" s="30"/>
    </row>
    <row r="310" spans="8:10" s="24" customFormat="1" hidden="1" x14ac:dyDescent="0.2">
      <c r="H310" s="30"/>
      <c r="I310" s="30"/>
      <c r="J310" s="30"/>
    </row>
    <row r="311" spans="8:10" s="24" customFormat="1" hidden="1" x14ac:dyDescent="0.2">
      <c r="H311" s="30"/>
      <c r="I311" s="30"/>
      <c r="J311" s="30"/>
    </row>
    <row r="312" spans="8:10" s="24" customFormat="1" hidden="1" x14ac:dyDescent="0.2">
      <c r="H312" s="30"/>
      <c r="I312" s="30"/>
      <c r="J312" s="30"/>
    </row>
    <row r="313" spans="8:10" s="24" customFormat="1" hidden="1" x14ac:dyDescent="0.2">
      <c r="H313" s="30"/>
      <c r="I313" s="30"/>
      <c r="J313" s="30"/>
    </row>
    <row r="314" spans="8:10" s="24" customFormat="1" hidden="1" x14ac:dyDescent="0.2">
      <c r="H314" s="30"/>
      <c r="I314" s="30"/>
      <c r="J314" s="30"/>
    </row>
    <row r="315" spans="8:10" s="24" customFormat="1" hidden="1" x14ac:dyDescent="0.2">
      <c r="H315" s="30"/>
      <c r="I315" s="30"/>
      <c r="J315" s="30"/>
    </row>
    <row r="316" spans="8:10" s="24" customFormat="1" hidden="1" x14ac:dyDescent="0.2">
      <c r="H316" s="30"/>
      <c r="I316" s="30"/>
      <c r="J316" s="30"/>
    </row>
    <row r="317" spans="8:10" s="24" customFormat="1" hidden="1" x14ac:dyDescent="0.2">
      <c r="H317" s="30"/>
      <c r="I317" s="30"/>
      <c r="J317" s="30"/>
    </row>
    <row r="318" spans="8:10" s="24" customFormat="1" hidden="1" x14ac:dyDescent="0.2">
      <c r="H318" s="30"/>
      <c r="I318" s="30"/>
      <c r="J318" s="30"/>
    </row>
    <row r="319" spans="8:10" s="24" customFormat="1" hidden="1" x14ac:dyDescent="0.2">
      <c r="H319" s="30"/>
      <c r="I319" s="30"/>
      <c r="J319" s="30"/>
    </row>
    <row r="320" spans="8:10" s="24" customFormat="1" hidden="1" x14ac:dyDescent="0.2">
      <c r="H320" s="30"/>
      <c r="I320" s="30"/>
      <c r="J320" s="30"/>
    </row>
    <row r="321" spans="5:11" s="24" customFormat="1" hidden="1" x14ac:dyDescent="0.2">
      <c r="H321" s="30"/>
      <c r="I321" s="30"/>
      <c r="J321" s="30"/>
    </row>
    <row r="322" spans="5:11" s="24" customFormat="1" hidden="1" x14ac:dyDescent="0.2">
      <c r="H322" s="30"/>
      <c r="I322" s="30"/>
      <c r="J322" s="30"/>
    </row>
    <row r="323" spans="5:11" s="24" customFormat="1" hidden="1" x14ac:dyDescent="0.2">
      <c r="H323" s="30"/>
      <c r="I323" s="30"/>
      <c r="J323" s="30"/>
    </row>
    <row r="324" spans="5:11" s="24" customFormat="1" hidden="1" x14ac:dyDescent="0.2">
      <c r="H324" s="30"/>
      <c r="I324" s="30"/>
      <c r="J324" s="30"/>
    </row>
    <row r="325" spans="5:11" s="24" customFormat="1" hidden="1" x14ac:dyDescent="0.2">
      <c r="H325" s="30"/>
      <c r="I325" s="30"/>
      <c r="J325" s="30"/>
    </row>
    <row r="326" spans="5:11" s="24" customFormat="1" hidden="1" x14ac:dyDescent="0.2">
      <c r="H326" s="30"/>
      <c r="I326" s="30"/>
      <c r="J326" s="30"/>
    </row>
    <row r="327" spans="5:11" s="24" customFormat="1" hidden="1" x14ac:dyDescent="0.2">
      <c r="H327" s="30"/>
      <c r="I327" s="30"/>
      <c r="J327" s="30"/>
    </row>
    <row r="328" spans="5:11" s="24" customFormat="1" hidden="1" x14ac:dyDescent="0.2"/>
    <row r="329" spans="5:11" s="24" customFormat="1" ht="15" hidden="1" x14ac:dyDescent="0.2">
      <c r="E329" s="195" t="s">
        <v>79</v>
      </c>
      <c r="F329" s="195"/>
      <c r="G329" s="195"/>
      <c r="H329" s="275" t="e">
        <f>H13+H29+H37+H75+H88+H115+H122+#REF!+H167+#REF!+H219+H226+H239+H246+H250</f>
        <v>#REF!</v>
      </c>
      <c r="I329" s="275" t="e">
        <f>I13+I29+I37+I75+I88+I115+I122+#REF!+I167+#REF!+I219+I226+I239+I246+I250</f>
        <v>#REF!</v>
      </c>
      <c r="J329" s="275"/>
    </row>
    <row r="330" spans="5:11" s="805" customFormat="1" ht="25.5" hidden="1" x14ac:dyDescent="0.35">
      <c r="H330" s="806"/>
      <c r="I330" s="807"/>
      <c r="J330" s="807"/>
      <c r="K330" s="808"/>
    </row>
    <row r="331" spans="5:11" s="24" customFormat="1" hidden="1" x14ac:dyDescent="0.2">
      <c r="K331" s="608"/>
    </row>
    <row r="332" spans="5:11" s="24" customFormat="1" hidden="1" x14ac:dyDescent="0.2">
      <c r="K332" s="608"/>
    </row>
    <row r="333" spans="5:11" s="24" customFormat="1" hidden="1" x14ac:dyDescent="0.2">
      <c r="K333" s="608"/>
    </row>
    <row r="334" spans="5:11" s="24" customFormat="1" hidden="1" x14ac:dyDescent="0.2">
      <c r="K334" s="608"/>
    </row>
    <row r="335" spans="5:11" s="24" customFormat="1" hidden="1" x14ac:dyDescent="0.2">
      <c r="K335" s="608"/>
    </row>
    <row r="336" spans="5:11" s="24" customFormat="1" hidden="1" x14ac:dyDescent="0.2">
      <c r="K336" s="608"/>
    </row>
    <row r="337" spans="8:11" s="24" customFormat="1" hidden="1" x14ac:dyDescent="0.2">
      <c r="H337" s="73"/>
      <c r="I337" s="73"/>
      <c r="J337" s="73"/>
      <c r="K337" s="608"/>
    </row>
    <row r="338" spans="8:11" s="24" customFormat="1" ht="18.75" hidden="1" x14ac:dyDescent="0.3">
      <c r="H338" s="809"/>
      <c r="I338" s="809"/>
      <c r="J338" s="809"/>
      <c r="K338" s="608"/>
    </row>
    <row r="339" spans="8:11" s="24" customFormat="1" hidden="1" x14ac:dyDescent="0.2">
      <c r="J339" s="73"/>
      <c r="K339" s="608"/>
    </row>
    <row r="340" spans="8:11" hidden="1" x14ac:dyDescent="0.2"/>
    <row r="341" spans="8:11" hidden="1" x14ac:dyDescent="0.2"/>
    <row r="342" spans="8:11" hidden="1" x14ac:dyDescent="0.2"/>
    <row r="343" spans="8:11" hidden="1" x14ac:dyDescent="0.2"/>
    <row r="344" spans="8:11" hidden="1" x14ac:dyDescent="0.2"/>
    <row r="345" spans="8:11" hidden="1" x14ac:dyDescent="0.2"/>
    <row r="346" spans="8:11" hidden="1" x14ac:dyDescent="0.2"/>
    <row r="347" spans="8:11" hidden="1" x14ac:dyDescent="0.2"/>
    <row r="349" spans="8:11" hidden="1" x14ac:dyDescent="0.2"/>
    <row r="350" spans="8:11" hidden="1" x14ac:dyDescent="0.2"/>
    <row r="351" spans="8:11" hidden="1" x14ac:dyDescent="0.2"/>
    <row r="352" spans="8:11" hidden="1" x14ac:dyDescent="0.2"/>
    <row r="353" spans="7:10" hidden="1" x14ac:dyDescent="0.2">
      <c r="G353" s="613">
        <v>1318970499</v>
      </c>
      <c r="H353" s="613">
        <v>341732410</v>
      </c>
      <c r="I353" s="613">
        <v>977238089</v>
      </c>
      <c r="J353" s="613">
        <v>18676889</v>
      </c>
    </row>
    <row r="354" spans="7:10" hidden="1" x14ac:dyDescent="0.2">
      <c r="G354" s="810">
        <f>G288-G353</f>
        <v>694585801.04999995</v>
      </c>
      <c r="H354" s="810">
        <f>H288-H353</f>
        <v>144475660</v>
      </c>
      <c r="I354" s="810">
        <f>I288-I353</f>
        <v>550110141.04999995</v>
      </c>
      <c r="J354" s="810">
        <f>J288-J353</f>
        <v>143040598</v>
      </c>
    </row>
    <row r="355" spans="7:10" hidden="1" x14ac:dyDescent="0.2"/>
    <row r="356" spans="7:10" hidden="1" x14ac:dyDescent="0.2"/>
    <row r="357" spans="7:10" hidden="1" x14ac:dyDescent="0.2"/>
    <row r="358" spans="7:10" hidden="1" x14ac:dyDescent="0.2"/>
    <row r="359" spans="7:10" hidden="1" x14ac:dyDescent="0.2"/>
    <row r="360" spans="7:10" hidden="1" x14ac:dyDescent="0.2"/>
    <row r="361" spans="7:10" hidden="1" x14ac:dyDescent="0.2"/>
    <row r="362" spans="7:10" hidden="1" x14ac:dyDescent="0.2"/>
    <row r="363" spans="7:10" hidden="1" x14ac:dyDescent="0.2"/>
    <row r="364" spans="7:10" hidden="1" x14ac:dyDescent="0.2"/>
    <row r="365" spans="7:10" hidden="1" x14ac:dyDescent="0.2"/>
    <row r="366" spans="7:10" hidden="1" x14ac:dyDescent="0.2"/>
    <row r="367" spans="7:10" hidden="1" x14ac:dyDescent="0.2"/>
    <row r="368" spans="7:10" hidden="1" x14ac:dyDescent="0.2"/>
    <row r="369" hidden="1" x14ac:dyDescent="0.2"/>
  </sheetData>
  <autoFilter ref="A1:L347">
    <filterColumn colId="10">
      <customFilters and="1">
        <customFilter operator="greaterThan" val="0"/>
      </customFilters>
    </filterColumn>
  </autoFilter>
  <mergeCells count="65">
    <mergeCell ref="A235:A236"/>
    <mergeCell ref="B235:B236"/>
    <mergeCell ref="C235:C236"/>
    <mergeCell ref="D235:D236"/>
    <mergeCell ref="B128:B129"/>
    <mergeCell ref="C128:C129"/>
    <mergeCell ref="D128:D129"/>
    <mergeCell ref="A186:A188"/>
    <mergeCell ref="B186:B188"/>
    <mergeCell ref="C186:C188"/>
    <mergeCell ref="D186:D188"/>
    <mergeCell ref="A126:A127"/>
    <mergeCell ref="B126:B127"/>
    <mergeCell ref="C126:C127"/>
    <mergeCell ref="D126:D127"/>
    <mergeCell ref="B122:B125"/>
    <mergeCell ref="C122:C125"/>
    <mergeCell ref="D122:D125"/>
    <mergeCell ref="D34:D35"/>
    <mergeCell ref="C22:C24"/>
    <mergeCell ref="B34:B35"/>
    <mergeCell ref="D31:D32"/>
    <mergeCell ref="A34:A35"/>
    <mergeCell ref="D22:D24"/>
    <mergeCell ref="A31:A32"/>
    <mergeCell ref="B31:B32"/>
    <mergeCell ref="C31:C32"/>
    <mergeCell ref="C34:C35"/>
    <mergeCell ref="A6:B6"/>
    <mergeCell ref="A7:B7"/>
    <mergeCell ref="F9:F10"/>
    <mergeCell ref="A22:A24"/>
    <mergeCell ref="B22:B24"/>
    <mergeCell ref="D9:D10"/>
    <mergeCell ref="B9:B10"/>
    <mergeCell ref="C9:C10"/>
    <mergeCell ref="A9:A10"/>
    <mergeCell ref="A81:A82"/>
    <mergeCell ref="B81:B82"/>
    <mergeCell ref="C81:C82"/>
    <mergeCell ref="D81:D82"/>
    <mergeCell ref="H4:I4"/>
    <mergeCell ref="E9:E10"/>
    <mergeCell ref="H9:H10"/>
    <mergeCell ref="I9:J9"/>
    <mergeCell ref="A5:J5"/>
    <mergeCell ref="G9:G10"/>
    <mergeCell ref="C96:C98"/>
    <mergeCell ref="D96:D98"/>
    <mergeCell ref="A114:A115"/>
    <mergeCell ref="B114:B115"/>
    <mergeCell ref="C114:C115"/>
    <mergeCell ref="D114:D115"/>
    <mergeCell ref="A96:A98"/>
    <mergeCell ref="B96:B98"/>
    <mergeCell ref="A100:A102"/>
    <mergeCell ref="B100:B102"/>
    <mergeCell ref="C100:C102"/>
    <mergeCell ref="D100:D102"/>
    <mergeCell ref="A182:A183"/>
    <mergeCell ref="B182:B183"/>
    <mergeCell ref="C182:C183"/>
    <mergeCell ref="D182:D183"/>
    <mergeCell ref="A122:A125"/>
    <mergeCell ref="A128:A129"/>
  </mergeCells>
  <phoneticPr fontId="0" type="noConversion"/>
  <printOptions horizontalCentered="1"/>
  <pageMargins left="0.26" right="0" top="0.46" bottom="0.43" header="0.17" footer="0.15748031496062992"/>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N833"/>
  <sheetViews>
    <sheetView view="pageBreakPreview" zoomScale="54" zoomScaleNormal="65" zoomScaleSheetLayoutView="54" workbookViewId="0">
      <pane xSplit="2" ySplit="9" topLeftCell="C10" activePane="bottomRight" state="frozen"/>
      <selection pane="topRight" activeCell="C1" sqref="C1"/>
      <selection pane="bottomLeft" activeCell="A8" sqref="A8"/>
      <selection pane="bottomRight" activeCell="A741" sqref="A741:IV833"/>
    </sheetView>
  </sheetViews>
  <sheetFormatPr defaultRowHeight="18.75" x14ac:dyDescent="0.3"/>
  <cols>
    <col min="1" max="1" width="26.5703125" style="159" customWidth="1"/>
    <col min="2" max="2" width="58.140625" style="236" customWidth="1"/>
    <col min="3" max="3" width="22.28515625" style="236" customWidth="1"/>
    <col min="4" max="4" width="22.7109375" style="236" customWidth="1"/>
    <col min="5" max="5" width="23.28515625" style="76" bestFit="1" customWidth="1"/>
    <col min="6" max="6" width="27.7109375" style="13" hidden="1" customWidth="1"/>
    <col min="7" max="18" width="0" style="13" hidden="1" customWidth="1"/>
    <col min="19" max="16384" width="9.140625" style="13"/>
  </cols>
  <sheetData>
    <row r="1" spans="1:40" s="82" customFormat="1" ht="20.25" customHeight="1" x14ac:dyDescent="0.3">
      <c r="A1" s="816"/>
      <c r="B1" s="237"/>
      <c r="C1" s="237"/>
      <c r="D1" s="238" t="s">
        <v>77</v>
      </c>
      <c r="E1" s="76"/>
      <c r="F1" s="15">
        <v>1</v>
      </c>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spans="1:40" s="82" customFormat="1" ht="18" customHeight="1" x14ac:dyDescent="0.3">
      <c r="A2" s="817"/>
      <c r="B2" s="239"/>
      <c r="C2" s="239"/>
      <c r="D2" s="238" t="s">
        <v>274</v>
      </c>
      <c r="E2" s="76"/>
      <c r="F2" s="15">
        <v>1</v>
      </c>
      <c r="G2" s="15"/>
      <c r="H2" s="15"/>
      <c r="I2" s="29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row>
    <row r="3" spans="1:40" s="82" customFormat="1" ht="18" customHeight="1" x14ac:dyDescent="0.3">
      <c r="A3" s="817"/>
      <c r="B3" s="239"/>
      <c r="C3" s="239"/>
      <c r="D3" s="502" t="s">
        <v>1417</v>
      </c>
      <c r="E3" s="503"/>
      <c r="F3" s="15">
        <v>1</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row>
    <row r="4" spans="1:40" s="82" customFormat="1" ht="63.75" customHeight="1" x14ac:dyDescent="0.3">
      <c r="A4" s="1663" t="s">
        <v>1367</v>
      </c>
      <c r="B4" s="1663"/>
      <c r="C4" s="1663"/>
      <c r="D4" s="1663"/>
      <c r="E4" s="1664"/>
      <c r="F4" s="15">
        <v>1</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row>
    <row r="5" spans="1:40" s="82" customFormat="1" ht="20.25" hidden="1" x14ac:dyDescent="0.3">
      <c r="A5" s="522" t="s">
        <v>858</v>
      </c>
      <c r="B5" s="1046"/>
      <c r="C5" s="1046"/>
      <c r="D5" s="1046"/>
      <c r="E5" s="1047"/>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row>
    <row r="6" spans="1:40" s="82" customFormat="1" ht="20.25" hidden="1" x14ac:dyDescent="0.3">
      <c r="A6" s="523" t="s">
        <v>856</v>
      </c>
      <c r="B6" s="1046"/>
      <c r="C6" s="1046"/>
      <c r="D6" s="1046"/>
      <c r="E6" s="1047"/>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16.5" customHeight="1" x14ac:dyDescent="0.3">
      <c r="A7" s="818"/>
      <c r="B7" s="240"/>
      <c r="C7" s="240"/>
      <c r="D7" s="240"/>
      <c r="E7" s="96" t="s">
        <v>737</v>
      </c>
      <c r="F7" s="13">
        <v>1</v>
      </c>
    </row>
    <row r="8" spans="1:40" ht="54.75" customHeight="1" x14ac:dyDescent="0.3">
      <c r="A8" s="315" t="s">
        <v>78</v>
      </c>
      <c r="B8" s="594" t="s">
        <v>69</v>
      </c>
      <c r="C8" s="594" t="s">
        <v>739</v>
      </c>
      <c r="D8" s="150" t="s">
        <v>53</v>
      </c>
      <c r="E8" s="150" t="s">
        <v>54</v>
      </c>
      <c r="F8" s="13">
        <v>1</v>
      </c>
    </row>
    <row r="9" spans="1:40" ht="18" customHeight="1" x14ac:dyDescent="0.3">
      <c r="A9" s="878">
        <v>1</v>
      </c>
      <c r="B9" s="527">
        <v>2</v>
      </c>
      <c r="C9" s="527">
        <v>3</v>
      </c>
      <c r="D9" s="879">
        <v>4</v>
      </c>
      <c r="E9" s="880">
        <v>5</v>
      </c>
      <c r="F9" s="13">
        <v>1</v>
      </c>
    </row>
    <row r="10" spans="1:40" ht="112.5" x14ac:dyDescent="0.3">
      <c r="A10" s="1665" t="s">
        <v>1060</v>
      </c>
      <c r="B10" s="881" t="s">
        <v>1206</v>
      </c>
      <c r="C10" s="466">
        <f t="shared" ref="C10:C19" si="0">SUM(D10:E10)</f>
        <v>1599620</v>
      </c>
      <c r="D10" s="565">
        <f>799810+799810</f>
        <v>1599620</v>
      </c>
      <c r="E10" s="586"/>
      <c r="F10" s="893">
        <f>SUM(C10:E10)</f>
        <v>3199240</v>
      </c>
    </row>
    <row r="11" spans="1:40" ht="93.75" x14ac:dyDescent="0.3">
      <c r="A11" s="1666"/>
      <c r="B11" s="881" t="s">
        <v>1412</v>
      </c>
      <c r="C11" s="466">
        <f t="shared" si="0"/>
        <v>1671000</v>
      </c>
      <c r="D11" s="565">
        <f>835500+835500</f>
        <v>1671000</v>
      </c>
      <c r="E11" s="586"/>
      <c r="F11" s="893">
        <f t="shared" ref="F11:F74" si="1">SUM(C11:E11)</f>
        <v>3342000</v>
      </c>
    </row>
    <row r="12" spans="1:40" ht="18" hidden="1" customHeight="1" x14ac:dyDescent="0.3">
      <c r="A12" s="1667"/>
      <c r="B12" s="906"/>
      <c r="C12" s="905"/>
      <c r="D12" s="907"/>
      <c r="E12" s="820"/>
      <c r="F12" s="893">
        <f t="shared" si="1"/>
        <v>0</v>
      </c>
    </row>
    <row r="13" spans="1:40" ht="18" hidden="1" customHeight="1" x14ac:dyDescent="0.3">
      <c r="A13" s="1667"/>
      <c r="B13" s="906"/>
      <c r="C13" s="905"/>
      <c r="D13" s="907"/>
      <c r="E13" s="820"/>
      <c r="F13" s="893">
        <f t="shared" si="1"/>
        <v>0</v>
      </c>
    </row>
    <row r="14" spans="1:40" ht="18" hidden="1" customHeight="1" x14ac:dyDescent="0.3">
      <c r="A14" s="1667"/>
      <c r="B14" s="306"/>
      <c r="C14" s="466">
        <f t="shared" si="0"/>
        <v>0</v>
      </c>
      <c r="D14" s="819"/>
      <c r="E14" s="820"/>
      <c r="F14" s="893">
        <f t="shared" si="1"/>
        <v>0</v>
      </c>
    </row>
    <row r="15" spans="1:40" ht="18" hidden="1" customHeight="1" x14ac:dyDescent="0.3">
      <c r="A15" s="1667"/>
      <c r="B15" s="306"/>
      <c r="C15" s="466">
        <f t="shared" si="0"/>
        <v>0</v>
      </c>
      <c r="D15" s="819"/>
      <c r="E15" s="820"/>
      <c r="F15" s="893">
        <f t="shared" si="1"/>
        <v>0</v>
      </c>
    </row>
    <row r="16" spans="1:40" ht="18" hidden="1" customHeight="1" x14ac:dyDescent="0.3">
      <c r="A16" s="1667"/>
      <c r="B16" s="306"/>
      <c r="C16" s="466">
        <f t="shared" si="0"/>
        <v>0</v>
      </c>
      <c r="D16" s="819"/>
      <c r="E16" s="820"/>
      <c r="F16" s="893">
        <f t="shared" si="1"/>
        <v>0</v>
      </c>
    </row>
    <row r="17" spans="1:6" ht="18" hidden="1" customHeight="1" x14ac:dyDescent="0.3">
      <c r="A17" s="1667"/>
      <c r="B17" s="306"/>
      <c r="C17" s="466">
        <f t="shared" si="0"/>
        <v>0</v>
      </c>
      <c r="D17" s="819"/>
      <c r="E17" s="820"/>
      <c r="F17" s="893">
        <f t="shared" si="1"/>
        <v>0</v>
      </c>
    </row>
    <row r="18" spans="1:6" ht="18" hidden="1" customHeight="1" x14ac:dyDescent="0.3">
      <c r="A18" s="1667"/>
      <c r="B18" s="306"/>
      <c r="C18" s="466">
        <f t="shared" si="0"/>
        <v>0</v>
      </c>
      <c r="D18" s="819"/>
      <c r="E18" s="820"/>
      <c r="F18" s="893">
        <f t="shared" si="1"/>
        <v>0</v>
      </c>
    </row>
    <row r="19" spans="1:6" ht="18" hidden="1" customHeight="1" x14ac:dyDescent="0.3">
      <c r="A19" s="1667"/>
      <c r="B19" s="306"/>
      <c r="C19" s="466">
        <f t="shared" si="0"/>
        <v>0</v>
      </c>
      <c r="D19" s="819"/>
      <c r="E19" s="820"/>
      <c r="F19" s="893">
        <f t="shared" si="1"/>
        <v>0</v>
      </c>
    </row>
    <row r="20" spans="1:6" ht="18" customHeight="1" x14ac:dyDescent="0.3">
      <c r="A20" s="1668"/>
      <c r="B20" s="884" t="s">
        <v>740</v>
      </c>
      <c r="C20" s="850">
        <f>SUM(C10:C19)</f>
        <v>3270620</v>
      </c>
      <c r="D20" s="850">
        <f>SUM(D10:D19)</f>
        <v>3270620</v>
      </c>
      <c r="E20" s="850">
        <f>SUM(E10:E19)</f>
        <v>0</v>
      </c>
      <c r="F20" s="893">
        <f t="shared" si="1"/>
        <v>6541240</v>
      </c>
    </row>
    <row r="21" spans="1:6" ht="18" hidden="1" customHeight="1" x14ac:dyDescent="0.3">
      <c r="A21" s="1669" t="s">
        <v>1069</v>
      </c>
      <c r="B21" s="306"/>
      <c r="C21" s="466">
        <f>SUM(D21:E21)</f>
        <v>0</v>
      </c>
      <c r="D21" s="819"/>
      <c r="E21" s="820"/>
      <c r="F21" s="893">
        <f t="shared" si="1"/>
        <v>0</v>
      </c>
    </row>
    <row r="22" spans="1:6" ht="18" hidden="1" customHeight="1" x14ac:dyDescent="0.3">
      <c r="A22" s="1667"/>
      <c r="B22" s="306"/>
      <c r="C22" s="466">
        <f t="shared" ref="C22:C30" si="2">SUM(D22:E22)</f>
        <v>0</v>
      </c>
      <c r="D22" s="819"/>
      <c r="E22" s="820"/>
      <c r="F22" s="893">
        <f t="shared" si="1"/>
        <v>0</v>
      </c>
    </row>
    <row r="23" spans="1:6" ht="18" hidden="1" customHeight="1" x14ac:dyDescent="0.3">
      <c r="A23" s="1667"/>
      <c r="B23" s="306"/>
      <c r="C23" s="466">
        <f t="shared" si="2"/>
        <v>0</v>
      </c>
      <c r="D23" s="819"/>
      <c r="E23" s="820"/>
      <c r="F23" s="893">
        <f t="shared" si="1"/>
        <v>0</v>
      </c>
    </row>
    <row r="24" spans="1:6" ht="18" hidden="1" customHeight="1" x14ac:dyDescent="0.3">
      <c r="A24" s="1667"/>
      <c r="B24" s="306"/>
      <c r="C24" s="466">
        <f t="shared" si="2"/>
        <v>0</v>
      </c>
      <c r="D24" s="819"/>
      <c r="E24" s="820"/>
      <c r="F24" s="893">
        <f t="shared" si="1"/>
        <v>0</v>
      </c>
    </row>
    <row r="25" spans="1:6" ht="18" hidden="1" customHeight="1" x14ac:dyDescent="0.3">
      <c r="A25" s="1667"/>
      <c r="B25" s="306"/>
      <c r="C25" s="466">
        <f t="shared" si="2"/>
        <v>0</v>
      </c>
      <c r="D25" s="819"/>
      <c r="E25" s="820"/>
      <c r="F25" s="893">
        <f t="shared" si="1"/>
        <v>0</v>
      </c>
    </row>
    <row r="26" spans="1:6" ht="18" hidden="1" customHeight="1" x14ac:dyDescent="0.3">
      <c r="A26" s="1667"/>
      <c r="B26" s="306"/>
      <c r="C26" s="466">
        <f t="shared" si="2"/>
        <v>0</v>
      </c>
      <c r="D26" s="819"/>
      <c r="E26" s="820"/>
      <c r="F26" s="893">
        <f t="shared" si="1"/>
        <v>0</v>
      </c>
    </row>
    <row r="27" spans="1:6" ht="18" hidden="1" customHeight="1" x14ac:dyDescent="0.3">
      <c r="A27" s="1667"/>
      <c r="B27" s="306"/>
      <c r="C27" s="466">
        <f t="shared" si="2"/>
        <v>0</v>
      </c>
      <c r="D27" s="819"/>
      <c r="E27" s="820"/>
      <c r="F27" s="893">
        <f t="shared" si="1"/>
        <v>0</v>
      </c>
    </row>
    <row r="28" spans="1:6" ht="18" hidden="1" customHeight="1" x14ac:dyDescent="0.3">
      <c r="A28" s="1667"/>
      <c r="B28" s="306"/>
      <c r="C28" s="466">
        <f t="shared" si="2"/>
        <v>0</v>
      </c>
      <c r="D28" s="819"/>
      <c r="E28" s="820"/>
      <c r="F28" s="893">
        <f t="shared" si="1"/>
        <v>0</v>
      </c>
    </row>
    <row r="29" spans="1:6" ht="18" hidden="1" customHeight="1" x14ac:dyDescent="0.3">
      <c r="A29" s="1667"/>
      <c r="B29" s="306"/>
      <c r="C29" s="466">
        <f t="shared" si="2"/>
        <v>0</v>
      </c>
      <c r="D29" s="819"/>
      <c r="E29" s="820"/>
      <c r="F29" s="893">
        <f t="shared" si="1"/>
        <v>0</v>
      </c>
    </row>
    <row r="30" spans="1:6" ht="18" hidden="1" customHeight="1" x14ac:dyDescent="0.3">
      <c r="A30" s="1667"/>
      <c r="B30" s="306"/>
      <c r="C30" s="466">
        <f t="shared" si="2"/>
        <v>0</v>
      </c>
      <c r="D30" s="819"/>
      <c r="E30" s="820"/>
      <c r="F30" s="893">
        <f t="shared" si="1"/>
        <v>0</v>
      </c>
    </row>
    <row r="31" spans="1:6" ht="18" hidden="1" customHeight="1" x14ac:dyDescent="0.3">
      <c r="A31" s="1670"/>
      <c r="B31" s="849" t="s">
        <v>740</v>
      </c>
      <c r="C31" s="850">
        <f>SUM(C21:C30)</f>
        <v>0</v>
      </c>
      <c r="D31" s="850">
        <f>SUM(D21:D30)</f>
        <v>0</v>
      </c>
      <c r="E31" s="850">
        <f>SUM(E21:E30)</f>
        <v>0</v>
      </c>
      <c r="F31" s="893">
        <f t="shared" si="1"/>
        <v>0</v>
      </c>
    </row>
    <row r="32" spans="1:6" ht="18" hidden="1" customHeight="1" x14ac:dyDescent="0.3">
      <c r="A32" s="1669" t="s">
        <v>1070</v>
      </c>
      <c r="B32" s="306"/>
      <c r="C32" s="466">
        <f>SUM(D32:E32)</f>
        <v>0</v>
      </c>
      <c r="D32" s="819"/>
      <c r="E32" s="820"/>
      <c r="F32" s="893">
        <f t="shared" si="1"/>
        <v>0</v>
      </c>
    </row>
    <row r="33" spans="1:6" ht="18" hidden="1" customHeight="1" x14ac:dyDescent="0.3">
      <c r="A33" s="1667"/>
      <c r="B33" s="306"/>
      <c r="C33" s="466">
        <f t="shared" ref="C33:C41" si="3">SUM(D33:E33)</f>
        <v>0</v>
      </c>
      <c r="D33" s="819"/>
      <c r="E33" s="820"/>
      <c r="F33" s="893">
        <f t="shared" si="1"/>
        <v>0</v>
      </c>
    </row>
    <row r="34" spans="1:6" ht="18" hidden="1" customHeight="1" x14ac:dyDescent="0.3">
      <c r="A34" s="1667"/>
      <c r="B34" s="306"/>
      <c r="C34" s="466">
        <f t="shared" si="3"/>
        <v>0</v>
      </c>
      <c r="D34" s="819"/>
      <c r="E34" s="820"/>
      <c r="F34" s="893">
        <f t="shared" si="1"/>
        <v>0</v>
      </c>
    </row>
    <row r="35" spans="1:6" ht="18" hidden="1" customHeight="1" x14ac:dyDescent="0.3">
      <c r="A35" s="1667"/>
      <c r="B35" s="306"/>
      <c r="C35" s="466">
        <f t="shared" si="3"/>
        <v>0</v>
      </c>
      <c r="D35" s="819"/>
      <c r="E35" s="820"/>
      <c r="F35" s="893">
        <f t="shared" si="1"/>
        <v>0</v>
      </c>
    </row>
    <row r="36" spans="1:6" ht="18" hidden="1" customHeight="1" x14ac:dyDescent="0.3">
      <c r="A36" s="1667"/>
      <c r="B36" s="306"/>
      <c r="C36" s="466">
        <f t="shared" si="3"/>
        <v>0</v>
      </c>
      <c r="D36" s="819"/>
      <c r="E36" s="820"/>
      <c r="F36" s="893">
        <f t="shared" si="1"/>
        <v>0</v>
      </c>
    </row>
    <row r="37" spans="1:6" ht="18" hidden="1" customHeight="1" x14ac:dyDescent="0.3">
      <c r="A37" s="1667"/>
      <c r="B37" s="306"/>
      <c r="C37" s="466">
        <f t="shared" si="3"/>
        <v>0</v>
      </c>
      <c r="D37" s="819"/>
      <c r="E37" s="820"/>
      <c r="F37" s="893">
        <f t="shared" si="1"/>
        <v>0</v>
      </c>
    </row>
    <row r="38" spans="1:6" ht="18" hidden="1" customHeight="1" x14ac:dyDescent="0.3">
      <c r="A38" s="1667"/>
      <c r="B38" s="306"/>
      <c r="C38" s="466">
        <f t="shared" si="3"/>
        <v>0</v>
      </c>
      <c r="D38" s="819"/>
      <c r="E38" s="820"/>
      <c r="F38" s="893">
        <f t="shared" si="1"/>
        <v>0</v>
      </c>
    </row>
    <row r="39" spans="1:6" ht="18" hidden="1" customHeight="1" x14ac:dyDescent="0.3">
      <c r="A39" s="1667"/>
      <c r="B39" s="306"/>
      <c r="C39" s="466">
        <f t="shared" si="3"/>
        <v>0</v>
      </c>
      <c r="D39" s="819"/>
      <c r="E39" s="820"/>
      <c r="F39" s="893">
        <f t="shared" si="1"/>
        <v>0</v>
      </c>
    </row>
    <row r="40" spans="1:6" ht="18" hidden="1" customHeight="1" x14ac:dyDescent="0.3">
      <c r="A40" s="1667"/>
      <c r="B40" s="306"/>
      <c r="C40" s="466">
        <f t="shared" si="3"/>
        <v>0</v>
      </c>
      <c r="D40" s="819"/>
      <c r="E40" s="820"/>
      <c r="F40" s="893">
        <f t="shared" si="1"/>
        <v>0</v>
      </c>
    </row>
    <row r="41" spans="1:6" ht="18" hidden="1" customHeight="1" x14ac:dyDescent="0.3">
      <c r="A41" s="1667"/>
      <c r="B41" s="306"/>
      <c r="C41" s="466">
        <f t="shared" si="3"/>
        <v>0</v>
      </c>
      <c r="D41" s="819"/>
      <c r="E41" s="820"/>
      <c r="F41" s="893">
        <f t="shared" si="1"/>
        <v>0</v>
      </c>
    </row>
    <row r="42" spans="1:6" ht="18" hidden="1" customHeight="1" x14ac:dyDescent="0.3">
      <c r="A42" s="1670"/>
      <c r="B42" s="849" t="s">
        <v>740</v>
      </c>
      <c r="C42" s="850">
        <f>SUM(C32:C41)</f>
        <v>0</v>
      </c>
      <c r="D42" s="850">
        <f>SUM(D32:D41)</f>
        <v>0</v>
      </c>
      <c r="E42" s="850">
        <f>SUM(E32:E41)</f>
        <v>0</v>
      </c>
      <c r="F42" s="893">
        <f t="shared" si="1"/>
        <v>0</v>
      </c>
    </row>
    <row r="43" spans="1:6" ht="18" hidden="1" customHeight="1" x14ac:dyDescent="0.3">
      <c r="A43" s="1669" t="s">
        <v>1071</v>
      </c>
      <c r="B43" s="306"/>
      <c r="C43" s="466">
        <f>SUM(D43:E43)</f>
        <v>0</v>
      </c>
      <c r="D43" s="819"/>
      <c r="E43" s="820"/>
      <c r="F43" s="893">
        <f t="shared" si="1"/>
        <v>0</v>
      </c>
    </row>
    <row r="44" spans="1:6" ht="18" hidden="1" customHeight="1" x14ac:dyDescent="0.3">
      <c r="A44" s="1667"/>
      <c r="B44" s="306"/>
      <c r="C44" s="466">
        <f t="shared" ref="C44:C52" si="4">SUM(D44:E44)</f>
        <v>0</v>
      </c>
      <c r="D44" s="819"/>
      <c r="E44" s="820"/>
      <c r="F44" s="893">
        <f t="shared" si="1"/>
        <v>0</v>
      </c>
    </row>
    <row r="45" spans="1:6" ht="18" hidden="1" customHeight="1" x14ac:dyDescent="0.3">
      <c r="A45" s="1667"/>
      <c r="B45" s="306"/>
      <c r="C45" s="466">
        <f t="shared" si="4"/>
        <v>0</v>
      </c>
      <c r="D45" s="819"/>
      <c r="E45" s="820"/>
      <c r="F45" s="893">
        <f t="shared" si="1"/>
        <v>0</v>
      </c>
    </row>
    <row r="46" spans="1:6" ht="18" hidden="1" customHeight="1" x14ac:dyDescent="0.3">
      <c r="A46" s="1667"/>
      <c r="B46" s="306"/>
      <c r="C46" s="466">
        <f t="shared" si="4"/>
        <v>0</v>
      </c>
      <c r="D46" s="819"/>
      <c r="E46" s="820"/>
      <c r="F46" s="893">
        <f t="shared" si="1"/>
        <v>0</v>
      </c>
    </row>
    <row r="47" spans="1:6" ht="18" hidden="1" customHeight="1" x14ac:dyDescent="0.3">
      <c r="A47" s="1667"/>
      <c r="B47" s="306"/>
      <c r="C47" s="466">
        <f t="shared" si="4"/>
        <v>0</v>
      </c>
      <c r="D47" s="819"/>
      <c r="E47" s="820"/>
      <c r="F47" s="893">
        <f t="shared" si="1"/>
        <v>0</v>
      </c>
    </row>
    <row r="48" spans="1:6" ht="18" hidden="1" customHeight="1" x14ac:dyDescent="0.3">
      <c r="A48" s="1667"/>
      <c r="B48" s="306"/>
      <c r="C48" s="466">
        <f t="shared" si="4"/>
        <v>0</v>
      </c>
      <c r="D48" s="819"/>
      <c r="E48" s="820"/>
      <c r="F48" s="893">
        <f t="shared" si="1"/>
        <v>0</v>
      </c>
    </row>
    <row r="49" spans="1:6" ht="18" hidden="1" customHeight="1" x14ac:dyDescent="0.3">
      <c r="A49" s="1667"/>
      <c r="B49" s="306"/>
      <c r="C49" s="466">
        <f t="shared" si="4"/>
        <v>0</v>
      </c>
      <c r="D49" s="819"/>
      <c r="E49" s="820"/>
      <c r="F49" s="893">
        <f t="shared" si="1"/>
        <v>0</v>
      </c>
    </row>
    <row r="50" spans="1:6" ht="18" hidden="1" customHeight="1" x14ac:dyDescent="0.3">
      <c r="A50" s="1667"/>
      <c r="B50" s="306"/>
      <c r="C50" s="466">
        <f t="shared" si="4"/>
        <v>0</v>
      </c>
      <c r="D50" s="819"/>
      <c r="E50" s="820"/>
      <c r="F50" s="893">
        <f t="shared" si="1"/>
        <v>0</v>
      </c>
    </row>
    <row r="51" spans="1:6" ht="18" hidden="1" customHeight="1" x14ac:dyDescent="0.3">
      <c r="A51" s="1667"/>
      <c r="B51" s="306"/>
      <c r="C51" s="466">
        <f t="shared" si="4"/>
        <v>0</v>
      </c>
      <c r="D51" s="819"/>
      <c r="E51" s="820"/>
      <c r="F51" s="893">
        <f t="shared" si="1"/>
        <v>0</v>
      </c>
    </row>
    <row r="52" spans="1:6" ht="18" hidden="1" customHeight="1" x14ac:dyDescent="0.3">
      <c r="A52" s="1667"/>
      <c r="B52" s="306"/>
      <c r="C52" s="466">
        <f t="shared" si="4"/>
        <v>0</v>
      </c>
      <c r="D52" s="819"/>
      <c r="E52" s="820"/>
      <c r="F52" s="893">
        <f t="shared" si="1"/>
        <v>0</v>
      </c>
    </row>
    <row r="53" spans="1:6" ht="18" hidden="1" customHeight="1" x14ac:dyDescent="0.3">
      <c r="A53" s="1670"/>
      <c r="B53" s="849" t="s">
        <v>740</v>
      </c>
      <c r="C53" s="850">
        <f>SUM(C43:C52)</f>
        <v>0</v>
      </c>
      <c r="D53" s="850">
        <f>SUM(D43:D52)</f>
        <v>0</v>
      </c>
      <c r="E53" s="850">
        <f>SUM(E43:E52)</f>
        <v>0</v>
      </c>
      <c r="F53" s="893">
        <f t="shared" si="1"/>
        <v>0</v>
      </c>
    </row>
    <row r="54" spans="1:6" ht="18" hidden="1" customHeight="1" x14ac:dyDescent="0.3">
      <c r="A54" s="1669" t="s">
        <v>1072</v>
      </c>
      <c r="B54" s="306"/>
      <c r="C54" s="466">
        <f>SUM(D54:E54)</f>
        <v>0</v>
      </c>
      <c r="D54" s="819"/>
      <c r="E54" s="820"/>
      <c r="F54" s="893">
        <f t="shared" si="1"/>
        <v>0</v>
      </c>
    </row>
    <row r="55" spans="1:6" ht="18" hidden="1" customHeight="1" x14ac:dyDescent="0.3">
      <c r="A55" s="1667"/>
      <c r="B55" s="306"/>
      <c r="C55" s="466">
        <f t="shared" ref="C55:C63" si="5">SUM(D55:E55)</f>
        <v>0</v>
      </c>
      <c r="D55" s="819"/>
      <c r="E55" s="820"/>
      <c r="F55" s="893">
        <f t="shared" si="1"/>
        <v>0</v>
      </c>
    </row>
    <row r="56" spans="1:6" ht="18" hidden="1" customHeight="1" x14ac:dyDescent="0.3">
      <c r="A56" s="1667"/>
      <c r="B56" s="306"/>
      <c r="C56" s="466">
        <f t="shared" si="5"/>
        <v>0</v>
      </c>
      <c r="D56" s="819"/>
      <c r="E56" s="820"/>
      <c r="F56" s="893">
        <f t="shared" si="1"/>
        <v>0</v>
      </c>
    </row>
    <row r="57" spans="1:6" ht="18" hidden="1" customHeight="1" x14ac:dyDescent="0.3">
      <c r="A57" s="1667"/>
      <c r="B57" s="306"/>
      <c r="C57" s="466">
        <f t="shared" si="5"/>
        <v>0</v>
      </c>
      <c r="D57" s="819"/>
      <c r="E57" s="820"/>
      <c r="F57" s="893">
        <f t="shared" si="1"/>
        <v>0</v>
      </c>
    </row>
    <row r="58" spans="1:6" ht="18" hidden="1" customHeight="1" x14ac:dyDescent="0.3">
      <c r="A58" s="1667"/>
      <c r="B58" s="306"/>
      <c r="C58" s="466">
        <f t="shared" si="5"/>
        <v>0</v>
      </c>
      <c r="D58" s="819"/>
      <c r="E58" s="820"/>
      <c r="F58" s="893">
        <f t="shared" si="1"/>
        <v>0</v>
      </c>
    </row>
    <row r="59" spans="1:6" ht="18" hidden="1" customHeight="1" x14ac:dyDescent="0.3">
      <c r="A59" s="1667"/>
      <c r="B59" s="306"/>
      <c r="C59" s="466">
        <f t="shared" si="5"/>
        <v>0</v>
      </c>
      <c r="D59" s="819"/>
      <c r="E59" s="820"/>
      <c r="F59" s="893">
        <f t="shared" si="1"/>
        <v>0</v>
      </c>
    </row>
    <row r="60" spans="1:6" ht="18" hidden="1" customHeight="1" x14ac:dyDescent="0.3">
      <c r="A60" s="1667"/>
      <c r="B60" s="306"/>
      <c r="C60" s="466">
        <f t="shared" si="5"/>
        <v>0</v>
      </c>
      <c r="D60" s="819"/>
      <c r="E60" s="820"/>
      <c r="F60" s="893">
        <f t="shared" si="1"/>
        <v>0</v>
      </c>
    </row>
    <row r="61" spans="1:6" ht="18" hidden="1" customHeight="1" x14ac:dyDescent="0.3">
      <c r="A61" s="1667"/>
      <c r="B61" s="306"/>
      <c r="C61" s="466">
        <f t="shared" si="5"/>
        <v>0</v>
      </c>
      <c r="D61" s="819"/>
      <c r="E61" s="820"/>
      <c r="F61" s="893">
        <f t="shared" si="1"/>
        <v>0</v>
      </c>
    </row>
    <row r="62" spans="1:6" ht="18" hidden="1" customHeight="1" x14ac:dyDescent="0.3">
      <c r="A62" s="1667"/>
      <c r="B62" s="306"/>
      <c r="C62" s="466">
        <f t="shared" si="5"/>
        <v>0</v>
      </c>
      <c r="D62" s="819"/>
      <c r="E62" s="820"/>
      <c r="F62" s="893">
        <f t="shared" si="1"/>
        <v>0</v>
      </c>
    </row>
    <row r="63" spans="1:6" ht="18" hidden="1" customHeight="1" x14ac:dyDescent="0.3">
      <c r="A63" s="1667"/>
      <c r="B63" s="306"/>
      <c r="C63" s="466">
        <f t="shared" si="5"/>
        <v>0</v>
      </c>
      <c r="D63" s="819"/>
      <c r="E63" s="820"/>
      <c r="F63" s="893">
        <f t="shared" si="1"/>
        <v>0</v>
      </c>
    </row>
    <row r="64" spans="1:6" ht="18" hidden="1" customHeight="1" x14ac:dyDescent="0.3">
      <c r="A64" s="1670"/>
      <c r="B64" s="849" t="s">
        <v>740</v>
      </c>
      <c r="C64" s="850">
        <f>SUM(C54:C63)</f>
        <v>0</v>
      </c>
      <c r="D64" s="850">
        <f>SUM(D54:D63)</f>
        <v>0</v>
      </c>
      <c r="E64" s="850">
        <f>SUM(E54:E63)</f>
        <v>0</v>
      </c>
      <c r="F64" s="893">
        <f t="shared" si="1"/>
        <v>0</v>
      </c>
    </row>
    <row r="65" spans="1:6" hidden="1" x14ac:dyDescent="0.3">
      <c r="A65" s="1669" t="s">
        <v>1073</v>
      </c>
      <c r="B65" s="1371"/>
      <c r="C65" s="1308"/>
      <c r="D65" s="1310"/>
      <c r="E65" s="1310"/>
      <c r="F65" s="893">
        <f t="shared" si="1"/>
        <v>0</v>
      </c>
    </row>
    <row r="66" spans="1:6" ht="18" hidden="1" customHeight="1" x14ac:dyDescent="0.3">
      <c r="A66" s="1667"/>
      <c r="B66" s="306"/>
      <c r="C66" s="466">
        <f t="shared" ref="C66:C74" si="6">SUM(D66:E66)</f>
        <v>0</v>
      </c>
      <c r="D66" s="819"/>
      <c r="E66" s="820"/>
      <c r="F66" s="893">
        <f t="shared" si="1"/>
        <v>0</v>
      </c>
    </row>
    <row r="67" spans="1:6" ht="18" hidden="1" customHeight="1" x14ac:dyDescent="0.3">
      <c r="A67" s="1667"/>
      <c r="B67" s="306"/>
      <c r="C67" s="466">
        <f t="shared" si="6"/>
        <v>0</v>
      </c>
      <c r="D67" s="819"/>
      <c r="E67" s="820"/>
      <c r="F67" s="893">
        <f t="shared" si="1"/>
        <v>0</v>
      </c>
    </row>
    <row r="68" spans="1:6" ht="18" hidden="1" customHeight="1" x14ac:dyDescent="0.3">
      <c r="A68" s="1667"/>
      <c r="B68" s="306"/>
      <c r="C68" s="466">
        <f t="shared" si="6"/>
        <v>0</v>
      </c>
      <c r="D68" s="819"/>
      <c r="E68" s="820"/>
      <c r="F68" s="893">
        <f t="shared" si="1"/>
        <v>0</v>
      </c>
    </row>
    <row r="69" spans="1:6" ht="18" hidden="1" customHeight="1" x14ac:dyDescent="0.3">
      <c r="A69" s="1667"/>
      <c r="B69" s="306"/>
      <c r="C69" s="466">
        <f t="shared" si="6"/>
        <v>0</v>
      </c>
      <c r="D69" s="819"/>
      <c r="E69" s="820"/>
      <c r="F69" s="893">
        <f t="shared" si="1"/>
        <v>0</v>
      </c>
    </row>
    <row r="70" spans="1:6" ht="18" hidden="1" customHeight="1" x14ac:dyDescent="0.3">
      <c r="A70" s="1667"/>
      <c r="B70" s="306"/>
      <c r="C70" s="466">
        <f t="shared" si="6"/>
        <v>0</v>
      </c>
      <c r="D70" s="819"/>
      <c r="E70" s="820"/>
      <c r="F70" s="893">
        <f t="shared" si="1"/>
        <v>0</v>
      </c>
    </row>
    <row r="71" spans="1:6" ht="18" hidden="1" customHeight="1" x14ac:dyDescent="0.3">
      <c r="A71" s="1667"/>
      <c r="B71" s="306"/>
      <c r="C71" s="466">
        <f t="shared" si="6"/>
        <v>0</v>
      </c>
      <c r="D71" s="819"/>
      <c r="E71" s="820"/>
      <c r="F71" s="893">
        <f t="shared" si="1"/>
        <v>0</v>
      </c>
    </row>
    <row r="72" spans="1:6" ht="18" hidden="1" customHeight="1" x14ac:dyDescent="0.3">
      <c r="A72" s="1667"/>
      <c r="B72" s="306"/>
      <c r="C72" s="466">
        <f t="shared" si="6"/>
        <v>0</v>
      </c>
      <c r="D72" s="819"/>
      <c r="E72" s="820"/>
      <c r="F72" s="893">
        <f t="shared" si="1"/>
        <v>0</v>
      </c>
    </row>
    <row r="73" spans="1:6" ht="18" hidden="1" customHeight="1" x14ac:dyDescent="0.3">
      <c r="A73" s="1667"/>
      <c r="B73" s="306"/>
      <c r="C73" s="466">
        <f t="shared" si="6"/>
        <v>0</v>
      </c>
      <c r="D73" s="819"/>
      <c r="E73" s="820"/>
      <c r="F73" s="893">
        <f t="shared" si="1"/>
        <v>0</v>
      </c>
    </row>
    <row r="74" spans="1:6" ht="18" hidden="1" customHeight="1" x14ac:dyDescent="0.3">
      <c r="A74" s="1667"/>
      <c r="B74" s="306"/>
      <c r="C74" s="466">
        <f t="shared" si="6"/>
        <v>0</v>
      </c>
      <c r="D74" s="819"/>
      <c r="E74" s="820"/>
      <c r="F74" s="893">
        <f t="shared" si="1"/>
        <v>0</v>
      </c>
    </row>
    <row r="75" spans="1:6" ht="18" hidden="1" customHeight="1" x14ac:dyDescent="0.3">
      <c r="A75" s="1670"/>
      <c r="B75" s="849" t="s">
        <v>740</v>
      </c>
      <c r="C75" s="850">
        <f>SUM(C65:C74)</f>
        <v>0</v>
      </c>
      <c r="D75" s="850">
        <f>SUM(D65:D74)</f>
        <v>0</v>
      </c>
      <c r="E75" s="850">
        <f>SUM(E65:E74)</f>
        <v>0</v>
      </c>
      <c r="F75" s="893">
        <f t="shared" ref="F75:F138" si="7">SUM(C75:E75)</f>
        <v>0</v>
      </c>
    </row>
    <row r="76" spans="1:6" ht="18" hidden="1" customHeight="1" x14ac:dyDescent="0.3">
      <c r="A76" s="1669" t="s">
        <v>1074</v>
      </c>
      <c r="B76" s="306"/>
      <c r="C76" s="466">
        <f>SUM(D76:E76)</f>
        <v>0</v>
      </c>
      <c r="D76" s="819"/>
      <c r="E76" s="820"/>
      <c r="F76" s="893">
        <f t="shared" si="7"/>
        <v>0</v>
      </c>
    </row>
    <row r="77" spans="1:6" ht="18" hidden="1" customHeight="1" x14ac:dyDescent="0.3">
      <c r="A77" s="1667"/>
      <c r="B77" s="306"/>
      <c r="C77" s="466">
        <f t="shared" ref="C77:C85" si="8">SUM(D77:E77)</f>
        <v>0</v>
      </c>
      <c r="D77" s="819"/>
      <c r="E77" s="820"/>
      <c r="F77" s="893">
        <f t="shared" si="7"/>
        <v>0</v>
      </c>
    </row>
    <row r="78" spans="1:6" ht="18" hidden="1" customHeight="1" x14ac:dyDescent="0.3">
      <c r="A78" s="1667"/>
      <c r="B78" s="306"/>
      <c r="C78" s="466">
        <f t="shared" si="8"/>
        <v>0</v>
      </c>
      <c r="D78" s="819"/>
      <c r="E78" s="820"/>
      <c r="F78" s="893">
        <f t="shared" si="7"/>
        <v>0</v>
      </c>
    </row>
    <row r="79" spans="1:6" ht="18" hidden="1" customHeight="1" x14ac:dyDescent="0.3">
      <c r="A79" s="1667"/>
      <c r="B79" s="306"/>
      <c r="C79" s="466">
        <f t="shared" si="8"/>
        <v>0</v>
      </c>
      <c r="D79" s="819"/>
      <c r="E79" s="820"/>
      <c r="F79" s="893">
        <f t="shared" si="7"/>
        <v>0</v>
      </c>
    </row>
    <row r="80" spans="1:6" ht="18" hidden="1" customHeight="1" x14ac:dyDescent="0.3">
      <c r="A80" s="1667"/>
      <c r="B80" s="306"/>
      <c r="C80" s="466">
        <f t="shared" si="8"/>
        <v>0</v>
      </c>
      <c r="D80" s="819"/>
      <c r="E80" s="820"/>
      <c r="F80" s="893">
        <f t="shared" si="7"/>
        <v>0</v>
      </c>
    </row>
    <row r="81" spans="1:6" ht="18" hidden="1" customHeight="1" x14ac:dyDescent="0.3">
      <c r="A81" s="1667"/>
      <c r="B81" s="306"/>
      <c r="C81" s="466">
        <f t="shared" si="8"/>
        <v>0</v>
      </c>
      <c r="D81" s="819"/>
      <c r="E81" s="820"/>
      <c r="F81" s="893">
        <f t="shared" si="7"/>
        <v>0</v>
      </c>
    </row>
    <row r="82" spans="1:6" ht="18" hidden="1" customHeight="1" x14ac:dyDescent="0.3">
      <c r="A82" s="1667"/>
      <c r="B82" s="306"/>
      <c r="C82" s="466">
        <f t="shared" si="8"/>
        <v>0</v>
      </c>
      <c r="D82" s="819"/>
      <c r="E82" s="820"/>
      <c r="F82" s="893">
        <f t="shared" si="7"/>
        <v>0</v>
      </c>
    </row>
    <row r="83" spans="1:6" ht="18" hidden="1" customHeight="1" x14ac:dyDescent="0.3">
      <c r="A83" s="1667"/>
      <c r="B83" s="306"/>
      <c r="C83" s="466">
        <f t="shared" si="8"/>
        <v>0</v>
      </c>
      <c r="D83" s="819"/>
      <c r="E83" s="820"/>
      <c r="F83" s="893">
        <f t="shared" si="7"/>
        <v>0</v>
      </c>
    </row>
    <row r="84" spans="1:6" ht="18" hidden="1" customHeight="1" x14ac:dyDescent="0.3">
      <c r="A84" s="1667"/>
      <c r="B84" s="306"/>
      <c r="C84" s="466">
        <f t="shared" si="8"/>
        <v>0</v>
      </c>
      <c r="D84" s="819"/>
      <c r="E84" s="820"/>
      <c r="F84" s="893">
        <f t="shared" si="7"/>
        <v>0</v>
      </c>
    </row>
    <row r="85" spans="1:6" ht="18" hidden="1" customHeight="1" x14ac:dyDescent="0.3">
      <c r="A85" s="1667"/>
      <c r="B85" s="306"/>
      <c r="C85" s="466">
        <f t="shared" si="8"/>
        <v>0</v>
      </c>
      <c r="D85" s="819"/>
      <c r="E85" s="820"/>
      <c r="F85" s="893">
        <f t="shared" si="7"/>
        <v>0</v>
      </c>
    </row>
    <row r="86" spans="1:6" ht="18" hidden="1" customHeight="1" x14ac:dyDescent="0.3">
      <c r="A86" s="1670"/>
      <c r="B86" s="849" t="s">
        <v>740</v>
      </c>
      <c r="C86" s="850">
        <f>SUM(C76:C85)</f>
        <v>0</v>
      </c>
      <c r="D86" s="850">
        <f>SUM(D76:D85)</f>
        <v>0</v>
      </c>
      <c r="E86" s="850">
        <f>SUM(E76:E85)</f>
        <v>0</v>
      </c>
      <c r="F86" s="893">
        <f t="shared" si="7"/>
        <v>0</v>
      </c>
    </row>
    <row r="87" spans="1:6" ht="18" hidden="1" customHeight="1" x14ac:dyDescent="0.3">
      <c r="A87" s="1669" t="s">
        <v>1075</v>
      </c>
      <c r="B87" s="306"/>
      <c r="C87" s="466">
        <f>SUM(D87:E87)</f>
        <v>0</v>
      </c>
      <c r="D87" s="819"/>
      <c r="E87" s="820"/>
      <c r="F87" s="893">
        <f t="shared" si="7"/>
        <v>0</v>
      </c>
    </row>
    <row r="88" spans="1:6" ht="18" hidden="1" customHeight="1" x14ac:dyDescent="0.3">
      <c r="A88" s="1667"/>
      <c r="B88" s="306"/>
      <c r="C88" s="466">
        <f t="shared" ref="C88:C96" si="9">SUM(D88:E88)</f>
        <v>0</v>
      </c>
      <c r="D88" s="819"/>
      <c r="E88" s="820"/>
      <c r="F88" s="893">
        <f t="shared" si="7"/>
        <v>0</v>
      </c>
    </row>
    <row r="89" spans="1:6" ht="18" hidden="1" customHeight="1" x14ac:dyDescent="0.3">
      <c r="A89" s="1667"/>
      <c r="B89" s="306"/>
      <c r="C89" s="466">
        <f t="shared" si="9"/>
        <v>0</v>
      </c>
      <c r="D89" s="819"/>
      <c r="E89" s="820"/>
      <c r="F89" s="893">
        <f t="shared" si="7"/>
        <v>0</v>
      </c>
    </row>
    <row r="90" spans="1:6" ht="18" hidden="1" customHeight="1" x14ac:dyDescent="0.3">
      <c r="A90" s="1667"/>
      <c r="B90" s="306"/>
      <c r="C90" s="466">
        <f t="shared" si="9"/>
        <v>0</v>
      </c>
      <c r="D90" s="819"/>
      <c r="E90" s="820"/>
      <c r="F90" s="893">
        <f t="shared" si="7"/>
        <v>0</v>
      </c>
    </row>
    <row r="91" spans="1:6" ht="18" hidden="1" customHeight="1" x14ac:dyDescent="0.3">
      <c r="A91" s="1667"/>
      <c r="B91" s="306"/>
      <c r="C91" s="466">
        <f t="shared" si="9"/>
        <v>0</v>
      </c>
      <c r="D91" s="819"/>
      <c r="E91" s="820"/>
      <c r="F91" s="893">
        <f t="shared" si="7"/>
        <v>0</v>
      </c>
    </row>
    <row r="92" spans="1:6" ht="18" hidden="1" customHeight="1" x14ac:dyDescent="0.3">
      <c r="A92" s="1667"/>
      <c r="B92" s="306"/>
      <c r="C92" s="466">
        <f t="shared" si="9"/>
        <v>0</v>
      </c>
      <c r="D92" s="819"/>
      <c r="E92" s="820"/>
      <c r="F92" s="893">
        <f t="shared" si="7"/>
        <v>0</v>
      </c>
    </row>
    <row r="93" spans="1:6" ht="18" hidden="1" customHeight="1" x14ac:dyDescent="0.3">
      <c r="A93" s="1667"/>
      <c r="B93" s="306"/>
      <c r="C93" s="466">
        <f t="shared" si="9"/>
        <v>0</v>
      </c>
      <c r="D93" s="819"/>
      <c r="E93" s="820"/>
      <c r="F93" s="893">
        <f t="shared" si="7"/>
        <v>0</v>
      </c>
    </row>
    <row r="94" spans="1:6" ht="18" hidden="1" customHeight="1" x14ac:dyDescent="0.3">
      <c r="A94" s="1667"/>
      <c r="B94" s="306"/>
      <c r="C94" s="466">
        <f t="shared" si="9"/>
        <v>0</v>
      </c>
      <c r="D94" s="819"/>
      <c r="E94" s="820"/>
      <c r="F94" s="893">
        <f t="shared" si="7"/>
        <v>0</v>
      </c>
    </row>
    <row r="95" spans="1:6" ht="18" hidden="1" customHeight="1" x14ac:dyDescent="0.3">
      <c r="A95" s="1667"/>
      <c r="B95" s="306"/>
      <c r="C95" s="466">
        <f t="shared" si="9"/>
        <v>0</v>
      </c>
      <c r="D95" s="819"/>
      <c r="E95" s="820"/>
      <c r="F95" s="893">
        <f t="shared" si="7"/>
        <v>0</v>
      </c>
    </row>
    <row r="96" spans="1:6" ht="18" hidden="1" customHeight="1" x14ac:dyDescent="0.3">
      <c r="A96" s="1667"/>
      <c r="B96" s="306"/>
      <c r="C96" s="466">
        <f t="shared" si="9"/>
        <v>0</v>
      </c>
      <c r="D96" s="819"/>
      <c r="E96" s="820"/>
      <c r="F96" s="893">
        <f t="shared" si="7"/>
        <v>0</v>
      </c>
    </row>
    <row r="97" spans="1:6" ht="18" hidden="1" customHeight="1" x14ac:dyDescent="0.3">
      <c r="A97" s="1670"/>
      <c r="B97" s="849" t="s">
        <v>740</v>
      </c>
      <c r="C97" s="850">
        <f>SUM(C87:C96)</f>
        <v>0</v>
      </c>
      <c r="D97" s="850">
        <f>SUM(D87:D96)</f>
        <v>0</v>
      </c>
      <c r="E97" s="850">
        <f>SUM(E87:E96)</f>
        <v>0</v>
      </c>
      <c r="F97" s="893">
        <f t="shared" si="7"/>
        <v>0</v>
      </c>
    </row>
    <row r="98" spans="1:6" ht="18" hidden="1" customHeight="1" x14ac:dyDescent="0.3">
      <c r="A98" s="1669" t="s">
        <v>1076</v>
      </c>
      <c r="B98" s="306"/>
      <c r="C98" s="466">
        <f>SUM(D98:E98)</f>
        <v>0</v>
      </c>
      <c r="D98" s="819"/>
      <c r="E98" s="820"/>
      <c r="F98" s="893">
        <f t="shared" si="7"/>
        <v>0</v>
      </c>
    </row>
    <row r="99" spans="1:6" ht="18" hidden="1" customHeight="1" x14ac:dyDescent="0.3">
      <c r="A99" s="1667"/>
      <c r="B99" s="306"/>
      <c r="C99" s="466">
        <f t="shared" ref="C99:C107" si="10">SUM(D99:E99)</f>
        <v>0</v>
      </c>
      <c r="D99" s="819"/>
      <c r="E99" s="820"/>
      <c r="F99" s="893">
        <f t="shared" si="7"/>
        <v>0</v>
      </c>
    </row>
    <row r="100" spans="1:6" ht="18" hidden="1" customHeight="1" x14ac:dyDescent="0.3">
      <c r="A100" s="1667"/>
      <c r="B100" s="306"/>
      <c r="C100" s="466">
        <f t="shared" si="10"/>
        <v>0</v>
      </c>
      <c r="D100" s="819"/>
      <c r="E100" s="820"/>
      <c r="F100" s="893">
        <f t="shared" si="7"/>
        <v>0</v>
      </c>
    </row>
    <row r="101" spans="1:6" ht="18" hidden="1" customHeight="1" x14ac:dyDescent="0.3">
      <c r="A101" s="1667"/>
      <c r="B101" s="306"/>
      <c r="C101" s="466">
        <f t="shared" si="10"/>
        <v>0</v>
      </c>
      <c r="D101" s="819"/>
      <c r="E101" s="820"/>
      <c r="F101" s="893">
        <f t="shared" si="7"/>
        <v>0</v>
      </c>
    </row>
    <row r="102" spans="1:6" ht="18" hidden="1" customHeight="1" x14ac:dyDescent="0.3">
      <c r="A102" s="1667"/>
      <c r="B102" s="306"/>
      <c r="C102" s="466">
        <f t="shared" si="10"/>
        <v>0</v>
      </c>
      <c r="D102" s="819"/>
      <c r="E102" s="820"/>
      <c r="F102" s="893">
        <f t="shared" si="7"/>
        <v>0</v>
      </c>
    </row>
    <row r="103" spans="1:6" ht="18" hidden="1" customHeight="1" x14ac:dyDescent="0.3">
      <c r="A103" s="1667"/>
      <c r="B103" s="306"/>
      <c r="C103" s="466">
        <f t="shared" si="10"/>
        <v>0</v>
      </c>
      <c r="D103" s="819"/>
      <c r="E103" s="820"/>
      <c r="F103" s="893">
        <f t="shared" si="7"/>
        <v>0</v>
      </c>
    </row>
    <row r="104" spans="1:6" ht="18" hidden="1" customHeight="1" x14ac:dyDescent="0.3">
      <c r="A104" s="1667"/>
      <c r="B104" s="306"/>
      <c r="C104" s="466">
        <f t="shared" si="10"/>
        <v>0</v>
      </c>
      <c r="D104" s="819"/>
      <c r="E104" s="820"/>
      <c r="F104" s="893">
        <f t="shared" si="7"/>
        <v>0</v>
      </c>
    </row>
    <row r="105" spans="1:6" ht="18" hidden="1" customHeight="1" x14ac:dyDescent="0.3">
      <c r="A105" s="1667"/>
      <c r="B105" s="306"/>
      <c r="C105" s="466">
        <f t="shared" si="10"/>
        <v>0</v>
      </c>
      <c r="D105" s="819"/>
      <c r="E105" s="820"/>
      <c r="F105" s="893">
        <f t="shared" si="7"/>
        <v>0</v>
      </c>
    </row>
    <row r="106" spans="1:6" ht="18" hidden="1" customHeight="1" x14ac:dyDescent="0.3">
      <c r="A106" s="1667"/>
      <c r="B106" s="306"/>
      <c r="C106" s="466">
        <f t="shared" si="10"/>
        <v>0</v>
      </c>
      <c r="D106" s="819"/>
      <c r="E106" s="820"/>
      <c r="F106" s="893">
        <f t="shared" si="7"/>
        <v>0</v>
      </c>
    </row>
    <row r="107" spans="1:6" ht="18" hidden="1" customHeight="1" x14ac:dyDescent="0.3">
      <c r="A107" s="1667"/>
      <c r="B107" s="306"/>
      <c r="C107" s="466">
        <f t="shared" si="10"/>
        <v>0</v>
      </c>
      <c r="D107" s="819"/>
      <c r="E107" s="820"/>
      <c r="F107" s="893">
        <f t="shared" si="7"/>
        <v>0</v>
      </c>
    </row>
    <row r="108" spans="1:6" ht="18" hidden="1" customHeight="1" x14ac:dyDescent="0.3">
      <c r="A108" s="1670"/>
      <c r="B108" s="849" t="s">
        <v>740</v>
      </c>
      <c r="C108" s="850">
        <f>SUM(C98:C107)</f>
        <v>0</v>
      </c>
      <c r="D108" s="850">
        <f>SUM(D98:D107)</f>
        <v>0</v>
      </c>
      <c r="E108" s="850">
        <f>SUM(E98:E107)</f>
        <v>0</v>
      </c>
      <c r="F108" s="893">
        <f t="shared" si="7"/>
        <v>0</v>
      </c>
    </row>
    <row r="109" spans="1:6" ht="18" hidden="1" customHeight="1" x14ac:dyDescent="0.3">
      <c r="A109" s="1669" t="s">
        <v>1077</v>
      </c>
      <c r="B109" s="306"/>
      <c r="C109" s="466">
        <f>SUM(D109:E109)</f>
        <v>0</v>
      </c>
      <c r="D109" s="819"/>
      <c r="E109" s="820"/>
      <c r="F109" s="893">
        <f t="shared" si="7"/>
        <v>0</v>
      </c>
    </row>
    <row r="110" spans="1:6" ht="18" hidden="1" customHeight="1" x14ac:dyDescent="0.3">
      <c r="A110" s="1667"/>
      <c r="B110" s="306"/>
      <c r="C110" s="466">
        <f t="shared" ref="C110:C118" si="11">SUM(D110:E110)</f>
        <v>0</v>
      </c>
      <c r="D110" s="819"/>
      <c r="E110" s="820"/>
      <c r="F110" s="893">
        <f t="shared" si="7"/>
        <v>0</v>
      </c>
    </row>
    <row r="111" spans="1:6" ht="18" hidden="1" customHeight="1" x14ac:dyDescent="0.3">
      <c r="A111" s="1667"/>
      <c r="B111" s="306"/>
      <c r="C111" s="466">
        <f t="shared" si="11"/>
        <v>0</v>
      </c>
      <c r="D111" s="819"/>
      <c r="E111" s="820"/>
      <c r="F111" s="893">
        <f t="shared" si="7"/>
        <v>0</v>
      </c>
    </row>
    <row r="112" spans="1:6" ht="18" hidden="1" customHeight="1" x14ac:dyDescent="0.3">
      <c r="A112" s="1667"/>
      <c r="B112" s="306"/>
      <c r="C112" s="466">
        <f t="shared" si="11"/>
        <v>0</v>
      </c>
      <c r="D112" s="819"/>
      <c r="E112" s="820"/>
      <c r="F112" s="893">
        <f t="shared" si="7"/>
        <v>0</v>
      </c>
    </row>
    <row r="113" spans="1:6" ht="18" hidden="1" customHeight="1" x14ac:dyDescent="0.3">
      <c r="A113" s="1667"/>
      <c r="B113" s="306"/>
      <c r="C113" s="466">
        <f t="shared" si="11"/>
        <v>0</v>
      </c>
      <c r="D113" s="819"/>
      <c r="E113" s="820"/>
      <c r="F113" s="893">
        <f t="shared" si="7"/>
        <v>0</v>
      </c>
    </row>
    <row r="114" spans="1:6" ht="18" hidden="1" customHeight="1" x14ac:dyDescent="0.3">
      <c r="A114" s="1667"/>
      <c r="B114" s="306"/>
      <c r="C114" s="466">
        <f t="shared" si="11"/>
        <v>0</v>
      </c>
      <c r="D114" s="819"/>
      <c r="E114" s="820"/>
      <c r="F114" s="893">
        <f t="shared" si="7"/>
        <v>0</v>
      </c>
    </row>
    <row r="115" spans="1:6" ht="18" hidden="1" customHeight="1" x14ac:dyDescent="0.3">
      <c r="A115" s="1667"/>
      <c r="B115" s="306"/>
      <c r="C115" s="466">
        <f t="shared" si="11"/>
        <v>0</v>
      </c>
      <c r="D115" s="819"/>
      <c r="E115" s="820"/>
      <c r="F115" s="893">
        <f t="shared" si="7"/>
        <v>0</v>
      </c>
    </row>
    <row r="116" spans="1:6" ht="18" hidden="1" customHeight="1" x14ac:dyDescent="0.3">
      <c r="A116" s="1667"/>
      <c r="B116" s="306"/>
      <c r="C116" s="466">
        <f t="shared" si="11"/>
        <v>0</v>
      </c>
      <c r="D116" s="819"/>
      <c r="E116" s="820"/>
      <c r="F116" s="893">
        <f t="shared" si="7"/>
        <v>0</v>
      </c>
    </row>
    <row r="117" spans="1:6" ht="18" hidden="1" customHeight="1" x14ac:dyDescent="0.3">
      <c r="A117" s="1667"/>
      <c r="B117" s="306"/>
      <c r="C117" s="466">
        <f t="shared" si="11"/>
        <v>0</v>
      </c>
      <c r="D117" s="819"/>
      <c r="E117" s="820"/>
      <c r="F117" s="893">
        <f t="shared" si="7"/>
        <v>0</v>
      </c>
    </row>
    <row r="118" spans="1:6" ht="18" hidden="1" customHeight="1" x14ac:dyDescent="0.3">
      <c r="A118" s="1667"/>
      <c r="B118" s="306"/>
      <c r="C118" s="466">
        <f t="shared" si="11"/>
        <v>0</v>
      </c>
      <c r="D118" s="819"/>
      <c r="E118" s="820"/>
      <c r="F118" s="893">
        <f t="shared" si="7"/>
        <v>0</v>
      </c>
    </row>
    <row r="119" spans="1:6" ht="18" hidden="1" customHeight="1" x14ac:dyDescent="0.3">
      <c r="A119" s="1670"/>
      <c r="B119" s="849" t="s">
        <v>740</v>
      </c>
      <c r="C119" s="850">
        <f>SUM(C109:C118)</f>
        <v>0</v>
      </c>
      <c r="D119" s="850">
        <f>SUM(D109:D118)</f>
        <v>0</v>
      </c>
      <c r="E119" s="850">
        <f>SUM(E109:E118)</f>
        <v>0</v>
      </c>
      <c r="F119" s="893">
        <f t="shared" si="7"/>
        <v>0</v>
      </c>
    </row>
    <row r="120" spans="1:6" ht="18" hidden="1" customHeight="1" x14ac:dyDescent="0.3">
      <c r="A120" s="1669" t="s">
        <v>1078</v>
      </c>
      <c r="B120" s="306"/>
      <c r="C120" s="466">
        <f>SUM(D120:E120)</f>
        <v>0</v>
      </c>
      <c r="D120" s="819"/>
      <c r="E120" s="820"/>
      <c r="F120" s="893">
        <f t="shared" si="7"/>
        <v>0</v>
      </c>
    </row>
    <row r="121" spans="1:6" ht="18" hidden="1" customHeight="1" x14ac:dyDescent="0.3">
      <c r="A121" s="1667"/>
      <c r="B121" s="306"/>
      <c r="C121" s="466">
        <f t="shared" ref="C121:C129" si="12">SUM(D121:E121)</f>
        <v>0</v>
      </c>
      <c r="D121" s="819"/>
      <c r="E121" s="820"/>
      <c r="F121" s="893">
        <f t="shared" si="7"/>
        <v>0</v>
      </c>
    </row>
    <row r="122" spans="1:6" ht="18" hidden="1" customHeight="1" x14ac:dyDescent="0.3">
      <c r="A122" s="1667"/>
      <c r="B122" s="306"/>
      <c r="C122" s="466">
        <f t="shared" si="12"/>
        <v>0</v>
      </c>
      <c r="D122" s="819"/>
      <c r="E122" s="820"/>
      <c r="F122" s="893">
        <f t="shared" si="7"/>
        <v>0</v>
      </c>
    </row>
    <row r="123" spans="1:6" ht="18" hidden="1" customHeight="1" x14ac:dyDescent="0.3">
      <c r="A123" s="1667"/>
      <c r="B123" s="306"/>
      <c r="C123" s="466">
        <f t="shared" si="12"/>
        <v>0</v>
      </c>
      <c r="D123" s="819"/>
      <c r="E123" s="820"/>
      <c r="F123" s="893">
        <f t="shared" si="7"/>
        <v>0</v>
      </c>
    </row>
    <row r="124" spans="1:6" ht="18" hidden="1" customHeight="1" x14ac:dyDescent="0.3">
      <c r="A124" s="1667"/>
      <c r="B124" s="306"/>
      <c r="C124" s="466">
        <f t="shared" si="12"/>
        <v>0</v>
      </c>
      <c r="D124" s="819"/>
      <c r="E124" s="820"/>
      <c r="F124" s="893">
        <f t="shared" si="7"/>
        <v>0</v>
      </c>
    </row>
    <row r="125" spans="1:6" ht="18" hidden="1" customHeight="1" x14ac:dyDescent="0.3">
      <c r="A125" s="1667"/>
      <c r="B125" s="306"/>
      <c r="C125" s="466">
        <f t="shared" si="12"/>
        <v>0</v>
      </c>
      <c r="D125" s="819"/>
      <c r="E125" s="820"/>
      <c r="F125" s="893">
        <f t="shared" si="7"/>
        <v>0</v>
      </c>
    </row>
    <row r="126" spans="1:6" ht="18" hidden="1" customHeight="1" x14ac:dyDescent="0.3">
      <c r="A126" s="1667"/>
      <c r="B126" s="306"/>
      <c r="C126" s="466">
        <f t="shared" si="12"/>
        <v>0</v>
      </c>
      <c r="D126" s="819"/>
      <c r="E126" s="820"/>
      <c r="F126" s="893">
        <f t="shared" si="7"/>
        <v>0</v>
      </c>
    </row>
    <row r="127" spans="1:6" ht="18" hidden="1" customHeight="1" x14ac:dyDescent="0.3">
      <c r="A127" s="1667"/>
      <c r="B127" s="306"/>
      <c r="C127" s="466">
        <f t="shared" si="12"/>
        <v>0</v>
      </c>
      <c r="D127" s="819"/>
      <c r="E127" s="820"/>
      <c r="F127" s="893">
        <f t="shared" si="7"/>
        <v>0</v>
      </c>
    </row>
    <row r="128" spans="1:6" ht="18" hidden="1" customHeight="1" x14ac:dyDescent="0.3">
      <c r="A128" s="1667"/>
      <c r="B128" s="306"/>
      <c r="C128" s="466">
        <f t="shared" si="12"/>
        <v>0</v>
      </c>
      <c r="D128" s="819"/>
      <c r="E128" s="820"/>
      <c r="F128" s="893">
        <f t="shared" si="7"/>
        <v>0</v>
      </c>
    </row>
    <row r="129" spans="1:6" ht="18" hidden="1" customHeight="1" x14ac:dyDescent="0.3">
      <c r="A129" s="1667"/>
      <c r="B129" s="306"/>
      <c r="C129" s="466">
        <f t="shared" si="12"/>
        <v>0</v>
      </c>
      <c r="D129" s="819"/>
      <c r="E129" s="820"/>
      <c r="F129" s="893">
        <f t="shared" si="7"/>
        <v>0</v>
      </c>
    </row>
    <row r="130" spans="1:6" ht="18" hidden="1" customHeight="1" x14ac:dyDescent="0.3">
      <c r="A130" s="1670"/>
      <c r="B130" s="849" t="s">
        <v>740</v>
      </c>
      <c r="C130" s="850">
        <f>SUM(C120:C129)</f>
        <v>0</v>
      </c>
      <c r="D130" s="850">
        <f>SUM(D120:D129)</f>
        <v>0</v>
      </c>
      <c r="E130" s="850">
        <f>SUM(E120:E129)</f>
        <v>0</v>
      </c>
      <c r="F130" s="893">
        <f t="shared" si="7"/>
        <v>0</v>
      </c>
    </row>
    <row r="131" spans="1:6" ht="18" hidden="1" customHeight="1" x14ac:dyDescent="0.3">
      <c r="A131" s="1669" t="s">
        <v>1079</v>
      </c>
      <c r="B131" s="306"/>
      <c r="C131" s="466">
        <f>SUM(D131:E131)</f>
        <v>0</v>
      </c>
      <c r="D131" s="819"/>
      <c r="E131" s="820"/>
      <c r="F131" s="893">
        <f t="shared" si="7"/>
        <v>0</v>
      </c>
    </row>
    <row r="132" spans="1:6" ht="18" hidden="1" customHeight="1" x14ac:dyDescent="0.3">
      <c r="A132" s="1667"/>
      <c r="B132" s="306"/>
      <c r="C132" s="466">
        <f t="shared" ref="C132:C140" si="13">SUM(D132:E132)</f>
        <v>0</v>
      </c>
      <c r="D132" s="819"/>
      <c r="E132" s="820"/>
      <c r="F132" s="893">
        <f t="shared" si="7"/>
        <v>0</v>
      </c>
    </row>
    <row r="133" spans="1:6" ht="18" hidden="1" customHeight="1" x14ac:dyDescent="0.3">
      <c r="A133" s="1667"/>
      <c r="B133" s="306"/>
      <c r="C133" s="466">
        <f t="shared" si="13"/>
        <v>0</v>
      </c>
      <c r="D133" s="819"/>
      <c r="E133" s="820"/>
      <c r="F133" s="893">
        <f t="shared" si="7"/>
        <v>0</v>
      </c>
    </row>
    <row r="134" spans="1:6" ht="18" hidden="1" customHeight="1" x14ac:dyDescent="0.3">
      <c r="A134" s="1667"/>
      <c r="B134" s="306"/>
      <c r="C134" s="466">
        <f t="shared" si="13"/>
        <v>0</v>
      </c>
      <c r="D134" s="819"/>
      <c r="E134" s="820"/>
      <c r="F134" s="893">
        <f t="shared" si="7"/>
        <v>0</v>
      </c>
    </row>
    <row r="135" spans="1:6" ht="18" hidden="1" customHeight="1" x14ac:dyDescent="0.3">
      <c r="A135" s="1667"/>
      <c r="B135" s="306"/>
      <c r="C135" s="466">
        <f t="shared" si="13"/>
        <v>0</v>
      </c>
      <c r="D135" s="819"/>
      <c r="E135" s="820"/>
      <c r="F135" s="893">
        <f t="shared" si="7"/>
        <v>0</v>
      </c>
    </row>
    <row r="136" spans="1:6" ht="18" hidden="1" customHeight="1" x14ac:dyDescent="0.3">
      <c r="A136" s="1667"/>
      <c r="B136" s="306"/>
      <c r="C136" s="466">
        <f t="shared" si="13"/>
        <v>0</v>
      </c>
      <c r="D136" s="819"/>
      <c r="E136" s="820"/>
      <c r="F136" s="893">
        <f t="shared" si="7"/>
        <v>0</v>
      </c>
    </row>
    <row r="137" spans="1:6" ht="18" hidden="1" customHeight="1" x14ac:dyDescent="0.3">
      <c r="A137" s="1667"/>
      <c r="B137" s="306"/>
      <c r="C137" s="466">
        <f t="shared" si="13"/>
        <v>0</v>
      </c>
      <c r="D137" s="819"/>
      <c r="E137" s="820"/>
      <c r="F137" s="893">
        <f t="shared" si="7"/>
        <v>0</v>
      </c>
    </row>
    <row r="138" spans="1:6" ht="18" hidden="1" customHeight="1" x14ac:dyDescent="0.3">
      <c r="A138" s="1667"/>
      <c r="B138" s="306"/>
      <c r="C138" s="466">
        <f t="shared" si="13"/>
        <v>0</v>
      </c>
      <c r="D138" s="819"/>
      <c r="E138" s="820"/>
      <c r="F138" s="893">
        <f t="shared" si="7"/>
        <v>0</v>
      </c>
    </row>
    <row r="139" spans="1:6" ht="18" hidden="1" customHeight="1" x14ac:dyDescent="0.3">
      <c r="A139" s="1667"/>
      <c r="B139" s="306"/>
      <c r="C139" s="466">
        <f t="shared" si="13"/>
        <v>0</v>
      </c>
      <c r="D139" s="819"/>
      <c r="E139" s="820"/>
      <c r="F139" s="893">
        <f t="shared" ref="F139:F202" si="14">SUM(C139:E139)</f>
        <v>0</v>
      </c>
    </row>
    <row r="140" spans="1:6" ht="18" hidden="1" customHeight="1" x14ac:dyDescent="0.3">
      <c r="A140" s="1667"/>
      <c r="B140" s="306"/>
      <c r="C140" s="466">
        <f t="shared" si="13"/>
        <v>0</v>
      </c>
      <c r="D140" s="819"/>
      <c r="E140" s="820"/>
      <c r="F140" s="893">
        <f t="shared" si="14"/>
        <v>0</v>
      </c>
    </row>
    <row r="141" spans="1:6" ht="18" hidden="1" customHeight="1" x14ac:dyDescent="0.3">
      <c r="A141" s="1670"/>
      <c r="B141" s="849" t="s">
        <v>740</v>
      </c>
      <c r="C141" s="850">
        <f>SUM(C131:C140)</f>
        <v>0</v>
      </c>
      <c r="D141" s="850">
        <f>SUM(D131:D140)</f>
        <v>0</v>
      </c>
      <c r="E141" s="850">
        <f>SUM(E131:E140)</f>
        <v>0</v>
      </c>
      <c r="F141" s="893">
        <f t="shared" si="14"/>
        <v>0</v>
      </c>
    </row>
    <row r="142" spans="1:6" ht="18" hidden="1" customHeight="1" x14ac:dyDescent="0.3">
      <c r="A142" s="1669" t="s">
        <v>1080</v>
      </c>
      <c r="B142" s="306"/>
      <c r="C142" s="466">
        <f>SUM(D142:E142)</f>
        <v>0</v>
      </c>
      <c r="D142" s="819"/>
      <c r="E142" s="820"/>
      <c r="F142" s="893">
        <f t="shared" si="14"/>
        <v>0</v>
      </c>
    </row>
    <row r="143" spans="1:6" ht="18" hidden="1" customHeight="1" x14ac:dyDescent="0.3">
      <c r="A143" s="1667"/>
      <c r="B143" s="306"/>
      <c r="C143" s="466">
        <f t="shared" ref="C143:C151" si="15">SUM(D143:E143)</f>
        <v>0</v>
      </c>
      <c r="D143" s="819"/>
      <c r="E143" s="820"/>
      <c r="F143" s="893">
        <f t="shared" si="14"/>
        <v>0</v>
      </c>
    </row>
    <row r="144" spans="1:6" ht="18" hidden="1" customHeight="1" x14ac:dyDescent="0.3">
      <c r="A144" s="1667"/>
      <c r="B144" s="306"/>
      <c r="C144" s="466">
        <f t="shared" si="15"/>
        <v>0</v>
      </c>
      <c r="D144" s="819"/>
      <c r="E144" s="820"/>
      <c r="F144" s="893">
        <f t="shared" si="14"/>
        <v>0</v>
      </c>
    </row>
    <row r="145" spans="1:6" ht="18" hidden="1" customHeight="1" x14ac:dyDescent="0.3">
      <c r="A145" s="1667"/>
      <c r="B145" s="306"/>
      <c r="C145" s="466">
        <f t="shared" si="15"/>
        <v>0</v>
      </c>
      <c r="D145" s="819"/>
      <c r="E145" s="820"/>
      <c r="F145" s="893">
        <f t="shared" si="14"/>
        <v>0</v>
      </c>
    </row>
    <row r="146" spans="1:6" ht="18" hidden="1" customHeight="1" x14ac:dyDescent="0.3">
      <c r="A146" s="1667"/>
      <c r="B146" s="306"/>
      <c r="C146" s="466">
        <f t="shared" si="15"/>
        <v>0</v>
      </c>
      <c r="D146" s="819"/>
      <c r="E146" s="820"/>
      <c r="F146" s="893">
        <f t="shared" si="14"/>
        <v>0</v>
      </c>
    </row>
    <row r="147" spans="1:6" ht="18" hidden="1" customHeight="1" x14ac:dyDescent="0.3">
      <c r="A147" s="1667"/>
      <c r="B147" s="306"/>
      <c r="C147" s="466">
        <f t="shared" si="15"/>
        <v>0</v>
      </c>
      <c r="D147" s="819"/>
      <c r="E147" s="820"/>
      <c r="F147" s="893">
        <f t="shared" si="14"/>
        <v>0</v>
      </c>
    </row>
    <row r="148" spans="1:6" ht="18" hidden="1" customHeight="1" x14ac:dyDescent="0.3">
      <c r="A148" s="1667"/>
      <c r="B148" s="306"/>
      <c r="C148" s="466">
        <f t="shared" si="15"/>
        <v>0</v>
      </c>
      <c r="D148" s="819"/>
      <c r="E148" s="820"/>
      <c r="F148" s="893">
        <f t="shared" si="14"/>
        <v>0</v>
      </c>
    </row>
    <row r="149" spans="1:6" ht="18" hidden="1" customHeight="1" x14ac:dyDescent="0.3">
      <c r="A149" s="1667"/>
      <c r="B149" s="306"/>
      <c r="C149" s="466">
        <f t="shared" si="15"/>
        <v>0</v>
      </c>
      <c r="D149" s="819"/>
      <c r="E149" s="820"/>
      <c r="F149" s="893">
        <f t="shared" si="14"/>
        <v>0</v>
      </c>
    </row>
    <row r="150" spans="1:6" ht="18" hidden="1" customHeight="1" x14ac:dyDescent="0.3">
      <c r="A150" s="1667"/>
      <c r="B150" s="306"/>
      <c r="C150" s="466">
        <f t="shared" si="15"/>
        <v>0</v>
      </c>
      <c r="D150" s="819"/>
      <c r="E150" s="820"/>
      <c r="F150" s="893">
        <f t="shared" si="14"/>
        <v>0</v>
      </c>
    </row>
    <row r="151" spans="1:6" ht="18" hidden="1" customHeight="1" x14ac:dyDescent="0.3">
      <c r="A151" s="1667"/>
      <c r="B151" s="306"/>
      <c r="C151" s="466">
        <f t="shared" si="15"/>
        <v>0</v>
      </c>
      <c r="D151" s="819"/>
      <c r="E151" s="820"/>
      <c r="F151" s="893">
        <f t="shared" si="14"/>
        <v>0</v>
      </c>
    </row>
    <row r="152" spans="1:6" ht="18" hidden="1" customHeight="1" x14ac:dyDescent="0.3">
      <c r="A152" s="1670"/>
      <c r="B152" s="849" t="s">
        <v>740</v>
      </c>
      <c r="C152" s="850">
        <f>SUM(C142:C151)</f>
        <v>0</v>
      </c>
      <c r="D152" s="850">
        <f>SUM(D142:D151)</f>
        <v>0</v>
      </c>
      <c r="E152" s="850">
        <f>SUM(E142:E151)</f>
        <v>0</v>
      </c>
      <c r="F152" s="893">
        <f t="shared" si="14"/>
        <v>0</v>
      </c>
    </row>
    <row r="153" spans="1:6" ht="18" hidden="1" customHeight="1" x14ac:dyDescent="0.3">
      <c r="A153" s="1669" t="s">
        <v>1081</v>
      </c>
      <c r="B153" s="306"/>
      <c r="C153" s="466">
        <f>SUM(D153:E153)</f>
        <v>0</v>
      </c>
      <c r="D153" s="819"/>
      <c r="E153" s="820"/>
      <c r="F153" s="893">
        <f t="shared" si="14"/>
        <v>0</v>
      </c>
    </row>
    <row r="154" spans="1:6" ht="18" hidden="1" customHeight="1" x14ac:dyDescent="0.3">
      <c r="A154" s="1667"/>
      <c r="B154" s="306"/>
      <c r="C154" s="466">
        <f t="shared" ref="C154:C162" si="16">SUM(D154:E154)</f>
        <v>0</v>
      </c>
      <c r="D154" s="819"/>
      <c r="E154" s="820"/>
      <c r="F154" s="893">
        <f t="shared" si="14"/>
        <v>0</v>
      </c>
    </row>
    <row r="155" spans="1:6" ht="18" hidden="1" customHeight="1" x14ac:dyDescent="0.3">
      <c r="A155" s="1667"/>
      <c r="B155" s="306"/>
      <c r="C155" s="466">
        <f t="shared" si="16"/>
        <v>0</v>
      </c>
      <c r="D155" s="819"/>
      <c r="E155" s="820"/>
      <c r="F155" s="893">
        <f t="shared" si="14"/>
        <v>0</v>
      </c>
    </row>
    <row r="156" spans="1:6" ht="18" hidden="1" customHeight="1" x14ac:dyDescent="0.3">
      <c r="A156" s="1667"/>
      <c r="B156" s="306"/>
      <c r="C156" s="466">
        <f t="shared" si="16"/>
        <v>0</v>
      </c>
      <c r="D156" s="819"/>
      <c r="E156" s="820"/>
      <c r="F156" s="893">
        <f t="shared" si="14"/>
        <v>0</v>
      </c>
    </row>
    <row r="157" spans="1:6" ht="18" hidden="1" customHeight="1" x14ac:dyDescent="0.3">
      <c r="A157" s="1667"/>
      <c r="B157" s="306"/>
      <c r="C157" s="466">
        <f t="shared" si="16"/>
        <v>0</v>
      </c>
      <c r="D157" s="819"/>
      <c r="E157" s="820"/>
      <c r="F157" s="893">
        <f t="shared" si="14"/>
        <v>0</v>
      </c>
    </row>
    <row r="158" spans="1:6" ht="18" hidden="1" customHeight="1" x14ac:dyDescent="0.3">
      <c r="A158" s="1667"/>
      <c r="B158" s="306"/>
      <c r="C158" s="466">
        <f t="shared" si="16"/>
        <v>0</v>
      </c>
      <c r="D158" s="819"/>
      <c r="E158" s="820"/>
      <c r="F158" s="893">
        <f t="shared" si="14"/>
        <v>0</v>
      </c>
    </row>
    <row r="159" spans="1:6" ht="18" hidden="1" customHeight="1" x14ac:dyDescent="0.3">
      <c r="A159" s="1667"/>
      <c r="B159" s="306"/>
      <c r="C159" s="466">
        <f t="shared" si="16"/>
        <v>0</v>
      </c>
      <c r="D159" s="819"/>
      <c r="E159" s="820"/>
      <c r="F159" s="893">
        <f t="shared" si="14"/>
        <v>0</v>
      </c>
    </row>
    <row r="160" spans="1:6" ht="18" hidden="1" customHeight="1" x14ac:dyDescent="0.3">
      <c r="A160" s="1667"/>
      <c r="B160" s="306"/>
      <c r="C160" s="466">
        <f t="shared" si="16"/>
        <v>0</v>
      </c>
      <c r="D160" s="819"/>
      <c r="E160" s="820"/>
      <c r="F160" s="893">
        <f t="shared" si="14"/>
        <v>0</v>
      </c>
    </row>
    <row r="161" spans="1:6" ht="18" hidden="1" customHeight="1" x14ac:dyDescent="0.3">
      <c r="A161" s="1667"/>
      <c r="B161" s="306"/>
      <c r="C161" s="466">
        <f t="shared" si="16"/>
        <v>0</v>
      </c>
      <c r="D161" s="819"/>
      <c r="E161" s="820"/>
      <c r="F161" s="893">
        <f t="shared" si="14"/>
        <v>0</v>
      </c>
    </row>
    <row r="162" spans="1:6" ht="18" hidden="1" customHeight="1" x14ac:dyDescent="0.3">
      <c r="A162" s="1667"/>
      <c r="B162" s="306"/>
      <c r="C162" s="466">
        <f t="shared" si="16"/>
        <v>0</v>
      </c>
      <c r="D162" s="819"/>
      <c r="E162" s="820"/>
      <c r="F162" s="893">
        <f t="shared" si="14"/>
        <v>0</v>
      </c>
    </row>
    <row r="163" spans="1:6" ht="18" hidden="1" customHeight="1" x14ac:dyDescent="0.3">
      <c r="A163" s="1670"/>
      <c r="B163" s="849" t="s">
        <v>740</v>
      </c>
      <c r="C163" s="850">
        <f>SUM(C153:C162)</f>
        <v>0</v>
      </c>
      <c r="D163" s="850">
        <f>SUM(D153:D162)</f>
        <v>0</v>
      </c>
      <c r="E163" s="850">
        <f>SUM(E153:E162)</f>
        <v>0</v>
      </c>
      <c r="F163" s="893">
        <f t="shared" si="14"/>
        <v>0</v>
      </c>
    </row>
    <row r="164" spans="1:6" ht="18" hidden="1" customHeight="1" x14ac:dyDescent="0.3">
      <c r="A164" s="1669" t="s">
        <v>1082</v>
      </c>
      <c r="B164" s="306"/>
      <c r="C164" s="466">
        <f>SUM(D164:E164)</f>
        <v>0</v>
      </c>
      <c r="D164" s="819"/>
      <c r="E164" s="820"/>
      <c r="F164" s="893">
        <f t="shared" si="14"/>
        <v>0</v>
      </c>
    </row>
    <row r="165" spans="1:6" ht="18" hidden="1" customHeight="1" x14ac:dyDescent="0.3">
      <c r="A165" s="1667"/>
      <c r="B165" s="306"/>
      <c r="C165" s="466">
        <f t="shared" ref="C165:C173" si="17">SUM(D165:E165)</f>
        <v>0</v>
      </c>
      <c r="D165" s="819"/>
      <c r="E165" s="820"/>
      <c r="F165" s="893">
        <f t="shared" si="14"/>
        <v>0</v>
      </c>
    </row>
    <row r="166" spans="1:6" ht="18" hidden="1" customHeight="1" x14ac:dyDescent="0.3">
      <c r="A166" s="1667"/>
      <c r="B166" s="306"/>
      <c r="C166" s="466">
        <f t="shared" si="17"/>
        <v>0</v>
      </c>
      <c r="D166" s="819"/>
      <c r="E166" s="820"/>
      <c r="F166" s="893">
        <f t="shared" si="14"/>
        <v>0</v>
      </c>
    </row>
    <row r="167" spans="1:6" ht="18" hidden="1" customHeight="1" x14ac:dyDescent="0.3">
      <c r="A167" s="1667"/>
      <c r="B167" s="306"/>
      <c r="C167" s="466">
        <f t="shared" si="17"/>
        <v>0</v>
      </c>
      <c r="D167" s="819"/>
      <c r="E167" s="820"/>
      <c r="F167" s="893">
        <f t="shared" si="14"/>
        <v>0</v>
      </c>
    </row>
    <row r="168" spans="1:6" ht="18" hidden="1" customHeight="1" x14ac:dyDescent="0.3">
      <c r="A168" s="1667"/>
      <c r="B168" s="306"/>
      <c r="C168" s="466">
        <f t="shared" si="17"/>
        <v>0</v>
      </c>
      <c r="D168" s="819"/>
      <c r="E168" s="820"/>
      <c r="F168" s="893">
        <f t="shared" si="14"/>
        <v>0</v>
      </c>
    </row>
    <row r="169" spans="1:6" ht="18" hidden="1" customHeight="1" x14ac:dyDescent="0.3">
      <c r="A169" s="1667"/>
      <c r="B169" s="306"/>
      <c r="C169" s="466">
        <f t="shared" si="17"/>
        <v>0</v>
      </c>
      <c r="D169" s="819"/>
      <c r="E169" s="820"/>
      <c r="F169" s="893">
        <f t="shared" si="14"/>
        <v>0</v>
      </c>
    </row>
    <row r="170" spans="1:6" ht="18" hidden="1" customHeight="1" x14ac:dyDescent="0.3">
      <c r="A170" s="1667"/>
      <c r="B170" s="306"/>
      <c r="C170" s="466">
        <f t="shared" si="17"/>
        <v>0</v>
      </c>
      <c r="D170" s="819"/>
      <c r="E170" s="820"/>
      <c r="F170" s="893">
        <f t="shared" si="14"/>
        <v>0</v>
      </c>
    </row>
    <row r="171" spans="1:6" ht="18" hidden="1" customHeight="1" x14ac:dyDescent="0.3">
      <c r="A171" s="1667"/>
      <c r="B171" s="306"/>
      <c r="C171" s="466">
        <f t="shared" si="17"/>
        <v>0</v>
      </c>
      <c r="D171" s="819"/>
      <c r="E171" s="820"/>
      <c r="F171" s="893">
        <f t="shared" si="14"/>
        <v>0</v>
      </c>
    </row>
    <row r="172" spans="1:6" ht="18" hidden="1" customHeight="1" x14ac:dyDescent="0.3">
      <c r="A172" s="1667"/>
      <c r="B172" s="306"/>
      <c r="C172" s="466">
        <f t="shared" si="17"/>
        <v>0</v>
      </c>
      <c r="D172" s="819"/>
      <c r="E172" s="820"/>
      <c r="F172" s="893">
        <f t="shared" si="14"/>
        <v>0</v>
      </c>
    </row>
    <row r="173" spans="1:6" ht="18" hidden="1" customHeight="1" x14ac:dyDescent="0.3">
      <c r="A173" s="1667"/>
      <c r="B173" s="306"/>
      <c r="C173" s="466">
        <f t="shared" si="17"/>
        <v>0</v>
      </c>
      <c r="D173" s="819"/>
      <c r="E173" s="820"/>
      <c r="F173" s="893">
        <f t="shared" si="14"/>
        <v>0</v>
      </c>
    </row>
    <row r="174" spans="1:6" ht="18" hidden="1" customHeight="1" x14ac:dyDescent="0.3">
      <c r="A174" s="1670"/>
      <c r="B174" s="849" t="s">
        <v>740</v>
      </c>
      <c r="C174" s="850">
        <f>SUM(C164:C173)</f>
        <v>0</v>
      </c>
      <c r="D174" s="850">
        <f>SUM(D164:D173)</f>
        <v>0</v>
      </c>
      <c r="E174" s="850">
        <f>SUM(E164:E173)</f>
        <v>0</v>
      </c>
      <c r="F174" s="893">
        <f t="shared" si="14"/>
        <v>0</v>
      </c>
    </row>
    <row r="175" spans="1:6" ht="18" hidden="1" customHeight="1" x14ac:dyDescent="0.3">
      <c r="A175" s="1669" t="s">
        <v>1083</v>
      </c>
      <c r="B175" s="306"/>
      <c r="C175" s="466">
        <f>SUM(D175:E175)</f>
        <v>0</v>
      </c>
      <c r="D175" s="819"/>
      <c r="E175" s="820"/>
      <c r="F175" s="893">
        <f t="shared" si="14"/>
        <v>0</v>
      </c>
    </row>
    <row r="176" spans="1:6" ht="18" hidden="1" customHeight="1" x14ac:dyDescent="0.3">
      <c r="A176" s="1667"/>
      <c r="B176" s="306"/>
      <c r="C176" s="466">
        <f t="shared" ref="C176:C184" si="18">SUM(D176:E176)</f>
        <v>0</v>
      </c>
      <c r="D176" s="819"/>
      <c r="E176" s="820"/>
      <c r="F176" s="893">
        <f t="shared" si="14"/>
        <v>0</v>
      </c>
    </row>
    <row r="177" spans="1:6" ht="18" hidden="1" customHeight="1" x14ac:dyDescent="0.3">
      <c r="A177" s="1667"/>
      <c r="B177" s="306"/>
      <c r="C177" s="466">
        <f t="shared" si="18"/>
        <v>0</v>
      </c>
      <c r="D177" s="819"/>
      <c r="E177" s="820"/>
      <c r="F177" s="893">
        <f t="shared" si="14"/>
        <v>0</v>
      </c>
    </row>
    <row r="178" spans="1:6" ht="18" hidden="1" customHeight="1" x14ac:dyDescent="0.3">
      <c r="A178" s="1667"/>
      <c r="B178" s="306"/>
      <c r="C178" s="466">
        <f t="shared" si="18"/>
        <v>0</v>
      </c>
      <c r="D178" s="819"/>
      <c r="E178" s="820"/>
      <c r="F178" s="893">
        <f t="shared" si="14"/>
        <v>0</v>
      </c>
    </row>
    <row r="179" spans="1:6" ht="18" hidden="1" customHeight="1" x14ac:dyDescent="0.3">
      <c r="A179" s="1667"/>
      <c r="B179" s="306"/>
      <c r="C179" s="466">
        <f t="shared" si="18"/>
        <v>0</v>
      </c>
      <c r="D179" s="819"/>
      <c r="E179" s="820"/>
      <c r="F179" s="893">
        <f t="shared" si="14"/>
        <v>0</v>
      </c>
    </row>
    <row r="180" spans="1:6" ht="18" hidden="1" customHeight="1" x14ac:dyDescent="0.3">
      <c r="A180" s="1667"/>
      <c r="B180" s="306"/>
      <c r="C180" s="466">
        <f t="shared" si="18"/>
        <v>0</v>
      </c>
      <c r="D180" s="819"/>
      <c r="E180" s="820"/>
      <c r="F180" s="893">
        <f t="shared" si="14"/>
        <v>0</v>
      </c>
    </row>
    <row r="181" spans="1:6" ht="18" hidden="1" customHeight="1" x14ac:dyDescent="0.3">
      <c r="A181" s="1667"/>
      <c r="B181" s="306"/>
      <c r="C181" s="466">
        <f t="shared" si="18"/>
        <v>0</v>
      </c>
      <c r="D181" s="819"/>
      <c r="E181" s="820"/>
      <c r="F181" s="893">
        <f t="shared" si="14"/>
        <v>0</v>
      </c>
    </row>
    <row r="182" spans="1:6" ht="18" hidden="1" customHeight="1" x14ac:dyDescent="0.3">
      <c r="A182" s="1667"/>
      <c r="B182" s="306"/>
      <c r="C182" s="466">
        <f t="shared" si="18"/>
        <v>0</v>
      </c>
      <c r="D182" s="819"/>
      <c r="E182" s="820"/>
      <c r="F182" s="893">
        <f t="shared" si="14"/>
        <v>0</v>
      </c>
    </row>
    <row r="183" spans="1:6" ht="18" hidden="1" customHeight="1" x14ac:dyDescent="0.3">
      <c r="A183" s="1667"/>
      <c r="B183" s="306"/>
      <c r="C183" s="466">
        <f t="shared" si="18"/>
        <v>0</v>
      </c>
      <c r="D183" s="819"/>
      <c r="E183" s="820"/>
      <c r="F183" s="893">
        <f t="shared" si="14"/>
        <v>0</v>
      </c>
    </row>
    <row r="184" spans="1:6" ht="18" hidden="1" customHeight="1" x14ac:dyDescent="0.3">
      <c r="A184" s="1667"/>
      <c r="B184" s="306"/>
      <c r="C184" s="466">
        <f t="shared" si="18"/>
        <v>0</v>
      </c>
      <c r="D184" s="819"/>
      <c r="E184" s="820"/>
      <c r="F184" s="893">
        <f t="shared" si="14"/>
        <v>0</v>
      </c>
    </row>
    <row r="185" spans="1:6" ht="18" hidden="1" customHeight="1" x14ac:dyDescent="0.3">
      <c r="A185" s="1670"/>
      <c r="B185" s="849" t="s">
        <v>740</v>
      </c>
      <c r="C185" s="850">
        <f>SUM(C175:C184)</f>
        <v>0</v>
      </c>
      <c r="D185" s="850">
        <f>SUM(D175:D184)</f>
        <v>0</v>
      </c>
      <c r="E185" s="850">
        <f>SUM(E175:E184)</f>
        <v>0</v>
      </c>
      <c r="F185" s="893">
        <f t="shared" si="14"/>
        <v>0</v>
      </c>
    </row>
    <row r="186" spans="1:6" ht="18" hidden="1" customHeight="1" x14ac:dyDescent="0.3">
      <c r="A186" s="1669" t="s">
        <v>1084</v>
      </c>
      <c r="B186" s="306"/>
      <c r="C186" s="466">
        <f>SUM(D186:E186)</f>
        <v>0</v>
      </c>
      <c r="D186" s="819"/>
      <c r="E186" s="820"/>
      <c r="F186" s="893">
        <f t="shared" si="14"/>
        <v>0</v>
      </c>
    </row>
    <row r="187" spans="1:6" ht="18" hidden="1" customHeight="1" x14ac:dyDescent="0.3">
      <c r="A187" s="1667"/>
      <c r="B187" s="306"/>
      <c r="C187" s="466">
        <f t="shared" ref="C187:C195" si="19">SUM(D187:E187)</f>
        <v>0</v>
      </c>
      <c r="D187" s="819"/>
      <c r="E187" s="820"/>
      <c r="F187" s="893">
        <f t="shared" si="14"/>
        <v>0</v>
      </c>
    </row>
    <row r="188" spans="1:6" ht="18" hidden="1" customHeight="1" x14ac:dyDescent="0.3">
      <c r="A188" s="1667"/>
      <c r="B188" s="306"/>
      <c r="C188" s="466">
        <f t="shared" si="19"/>
        <v>0</v>
      </c>
      <c r="D188" s="819"/>
      <c r="E188" s="820"/>
      <c r="F188" s="893">
        <f t="shared" si="14"/>
        <v>0</v>
      </c>
    </row>
    <row r="189" spans="1:6" ht="18" hidden="1" customHeight="1" x14ac:dyDescent="0.3">
      <c r="A189" s="1667"/>
      <c r="B189" s="306"/>
      <c r="C189" s="466">
        <f t="shared" si="19"/>
        <v>0</v>
      </c>
      <c r="D189" s="819"/>
      <c r="E189" s="820"/>
      <c r="F189" s="893">
        <f t="shared" si="14"/>
        <v>0</v>
      </c>
    </row>
    <row r="190" spans="1:6" ht="18" hidden="1" customHeight="1" x14ac:dyDescent="0.3">
      <c r="A190" s="1667"/>
      <c r="B190" s="306"/>
      <c r="C190" s="466">
        <f t="shared" si="19"/>
        <v>0</v>
      </c>
      <c r="D190" s="819"/>
      <c r="E190" s="820"/>
      <c r="F190" s="893">
        <f t="shared" si="14"/>
        <v>0</v>
      </c>
    </row>
    <row r="191" spans="1:6" ht="18" hidden="1" customHeight="1" x14ac:dyDescent="0.3">
      <c r="A191" s="1667"/>
      <c r="B191" s="306"/>
      <c r="C191" s="466">
        <f t="shared" si="19"/>
        <v>0</v>
      </c>
      <c r="D191" s="819"/>
      <c r="E191" s="820"/>
      <c r="F191" s="893">
        <f t="shared" si="14"/>
        <v>0</v>
      </c>
    </row>
    <row r="192" spans="1:6" ht="18" hidden="1" customHeight="1" x14ac:dyDescent="0.3">
      <c r="A192" s="1667"/>
      <c r="B192" s="306"/>
      <c r="C192" s="466">
        <f t="shared" si="19"/>
        <v>0</v>
      </c>
      <c r="D192" s="819"/>
      <c r="E192" s="820"/>
      <c r="F192" s="893">
        <f t="shared" si="14"/>
        <v>0</v>
      </c>
    </row>
    <row r="193" spans="1:6" ht="18" hidden="1" customHeight="1" x14ac:dyDescent="0.3">
      <c r="A193" s="1667"/>
      <c r="B193" s="306"/>
      <c r="C193" s="466">
        <f t="shared" si="19"/>
        <v>0</v>
      </c>
      <c r="D193" s="819"/>
      <c r="E193" s="820"/>
      <c r="F193" s="893">
        <f t="shared" si="14"/>
        <v>0</v>
      </c>
    </row>
    <row r="194" spans="1:6" ht="18" hidden="1" customHeight="1" x14ac:dyDescent="0.3">
      <c r="A194" s="1667"/>
      <c r="B194" s="306"/>
      <c r="C194" s="466">
        <f t="shared" si="19"/>
        <v>0</v>
      </c>
      <c r="D194" s="819"/>
      <c r="E194" s="820"/>
      <c r="F194" s="893">
        <f t="shared" si="14"/>
        <v>0</v>
      </c>
    </row>
    <row r="195" spans="1:6" ht="18" hidden="1" customHeight="1" x14ac:dyDescent="0.3">
      <c r="A195" s="1667"/>
      <c r="B195" s="306"/>
      <c r="C195" s="466">
        <f t="shared" si="19"/>
        <v>0</v>
      </c>
      <c r="D195" s="819"/>
      <c r="E195" s="820"/>
      <c r="F195" s="893">
        <f t="shared" si="14"/>
        <v>0</v>
      </c>
    </row>
    <row r="196" spans="1:6" ht="18" hidden="1" customHeight="1" x14ac:dyDescent="0.3">
      <c r="A196" s="1670"/>
      <c r="B196" s="849" t="s">
        <v>740</v>
      </c>
      <c r="C196" s="850">
        <f>SUM(C186:C195)</f>
        <v>0</v>
      </c>
      <c r="D196" s="850">
        <f>SUM(D186:D195)</f>
        <v>0</v>
      </c>
      <c r="E196" s="850">
        <f>SUM(E186:E195)</f>
        <v>0</v>
      </c>
      <c r="F196" s="893">
        <f t="shared" si="14"/>
        <v>0</v>
      </c>
    </row>
    <row r="197" spans="1:6" ht="18" hidden="1" customHeight="1" x14ac:dyDescent="0.3">
      <c r="A197" s="1669" t="s">
        <v>1085</v>
      </c>
      <c r="B197" s="306"/>
      <c r="C197" s="466">
        <f>SUM(D197:E197)</f>
        <v>0</v>
      </c>
      <c r="D197" s="819"/>
      <c r="E197" s="820"/>
      <c r="F197" s="893">
        <f t="shared" si="14"/>
        <v>0</v>
      </c>
    </row>
    <row r="198" spans="1:6" ht="18" hidden="1" customHeight="1" x14ac:dyDescent="0.3">
      <c r="A198" s="1667"/>
      <c r="B198" s="306"/>
      <c r="C198" s="466">
        <f t="shared" ref="C198:C206" si="20">SUM(D198:E198)</f>
        <v>0</v>
      </c>
      <c r="D198" s="819"/>
      <c r="E198" s="820"/>
      <c r="F198" s="893">
        <f t="shared" si="14"/>
        <v>0</v>
      </c>
    </row>
    <row r="199" spans="1:6" ht="18" hidden="1" customHeight="1" x14ac:dyDescent="0.3">
      <c r="A199" s="1667"/>
      <c r="B199" s="306"/>
      <c r="C199" s="466">
        <f t="shared" si="20"/>
        <v>0</v>
      </c>
      <c r="D199" s="819"/>
      <c r="E199" s="820"/>
      <c r="F199" s="893">
        <f t="shared" si="14"/>
        <v>0</v>
      </c>
    </row>
    <row r="200" spans="1:6" ht="18" hidden="1" customHeight="1" x14ac:dyDescent="0.3">
      <c r="A200" s="1667"/>
      <c r="B200" s="306"/>
      <c r="C200" s="466">
        <f t="shared" si="20"/>
        <v>0</v>
      </c>
      <c r="D200" s="819"/>
      <c r="E200" s="820"/>
      <c r="F200" s="893">
        <f t="shared" si="14"/>
        <v>0</v>
      </c>
    </row>
    <row r="201" spans="1:6" ht="18" hidden="1" customHeight="1" x14ac:dyDescent="0.3">
      <c r="A201" s="1667"/>
      <c r="B201" s="306"/>
      <c r="C201" s="466">
        <f t="shared" si="20"/>
        <v>0</v>
      </c>
      <c r="D201" s="819"/>
      <c r="E201" s="820"/>
      <c r="F201" s="893">
        <f t="shared" si="14"/>
        <v>0</v>
      </c>
    </row>
    <row r="202" spans="1:6" ht="18" hidden="1" customHeight="1" x14ac:dyDescent="0.3">
      <c r="A202" s="1667"/>
      <c r="B202" s="306"/>
      <c r="C202" s="466">
        <f t="shared" si="20"/>
        <v>0</v>
      </c>
      <c r="D202" s="819"/>
      <c r="E202" s="820"/>
      <c r="F202" s="893">
        <f t="shared" si="14"/>
        <v>0</v>
      </c>
    </row>
    <row r="203" spans="1:6" ht="18" hidden="1" customHeight="1" x14ac:dyDescent="0.3">
      <c r="A203" s="1667"/>
      <c r="B203" s="306"/>
      <c r="C203" s="466">
        <f t="shared" si="20"/>
        <v>0</v>
      </c>
      <c r="D203" s="819"/>
      <c r="E203" s="820"/>
      <c r="F203" s="893">
        <f t="shared" ref="F203:F266" si="21">SUM(C203:E203)</f>
        <v>0</v>
      </c>
    </row>
    <row r="204" spans="1:6" ht="18" hidden="1" customHeight="1" x14ac:dyDescent="0.3">
      <c r="A204" s="1667"/>
      <c r="B204" s="306"/>
      <c r="C204" s="466">
        <f t="shared" si="20"/>
        <v>0</v>
      </c>
      <c r="D204" s="819"/>
      <c r="E204" s="820"/>
      <c r="F204" s="893">
        <f t="shared" si="21"/>
        <v>0</v>
      </c>
    </row>
    <row r="205" spans="1:6" ht="18" hidden="1" customHeight="1" x14ac:dyDescent="0.3">
      <c r="A205" s="1667"/>
      <c r="B205" s="306"/>
      <c r="C205" s="466">
        <f t="shared" si="20"/>
        <v>0</v>
      </c>
      <c r="D205" s="819"/>
      <c r="E205" s="820"/>
      <c r="F205" s="893">
        <f t="shared" si="21"/>
        <v>0</v>
      </c>
    </row>
    <row r="206" spans="1:6" ht="18" hidden="1" customHeight="1" x14ac:dyDescent="0.3">
      <c r="A206" s="1667"/>
      <c r="B206" s="306"/>
      <c r="C206" s="466">
        <f t="shared" si="20"/>
        <v>0</v>
      </c>
      <c r="D206" s="819"/>
      <c r="E206" s="820"/>
      <c r="F206" s="893">
        <f t="shared" si="21"/>
        <v>0</v>
      </c>
    </row>
    <row r="207" spans="1:6" ht="18" hidden="1" customHeight="1" x14ac:dyDescent="0.3">
      <c r="A207" s="1670"/>
      <c r="B207" s="849" t="s">
        <v>740</v>
      </c>
      <c r="C207" s="850">
        <f>SUM(C197:C206)</f>
        <v>0</v>
      </c>
      <c r="D207" s="850">
        <f>SUM(D197:D206)</f>
        <v>0</v>
      </c>
      <c r="E207" s="850">
        <f>SUM(E197:E206)</f>
        <v>0</v>
      </c>
      <c r="F207" s="893">
        <f t="shared" si="21"/>
        <v>0</v>
      </c>
    </row>
    <row r="208" spans="1:6" ht="18" hidden="1" customHeight="1" x14ac:dyDescent="0.3">
      <c r="A208" s="1669" t="s">
        <v>1086</v>
      </c>
      <c r="B208" s="306"/>
      <c r="C208" s="466">
        <f>SUM(D208:E208)</f>
        <v>0</v>
      </c>
      <c r="D208" s="819"/>
      <c r="E208" s="820"/>
      <c r="F208" s="893">
        <f t="shared" si="21"/>
        <v>0</v>
      </c>
    </row>
    <row r="209" spans="1:6" ht="18" hidden="1" customHeight="1" x14ac:dyDescent="0.3">
      <c r="A209" s="1667"/>
      <c r="B209" s="306"/>
      <c r="C209" s="466">
        <f t="shared" ref="C209:C217" si="22">SUM(D209:E209)</f>
        <v>0</v>
      </c>
      <c r="D209" s="819"/>
      <c r="E209" s="820"/>
      <c r="F209" s="893">
        <f t="shared" si="21"/>
        <v>0</v>
      </c>
    </row>
    <row r="210" spans="1:6" ht="18" hidden="1" customHeight="1" x14ac:dyDescent="0.3">
      <c r="A210" s="1667"/>
      <c r="B210" s="306"/>
      <c r="C210" s="466">
        <f t="shared" si="22"/>
        <v>0</v>
      </c>
      <c r="D210" s="819"/>
      <c r="E210" s="820"/>
      <c r="F210" s="893">
        <f t="shared" si="21"/>
        <v>0</v>
      </c>
    </row>
    <row r="211" spans="1:6" ht="18" hidden="1" customHeight="1" x14ac:dyDescent="0.3">
      <c r="A211" s="1667"/>
      <c r="B211" s="306"/>
      <c r="C211" s="466">
        <f t="shared" si="22"/>
        <v>0</v>
      </c>
      <c r="D211" s="819"/>
      <c r="E211" s="820"/>
      <c r="F211" s="893">
        <f t="shared" si="21"/>
        <v>0</v>
      </c>
    </row>
    <row r="212" spans="1:6" ht="18" hidden="1" customHeight="1" x14ac:dyDescent="0.3">
      <c r="A212" s="1667"/>
      <c r="B212" s="306"/>
      <c r="C212" s="466">
        <f t="shared" si="22"/>
        <v>0</v>
      </c>
      <c r="D212" s="819"/>
      <c r="E212" s="820"/>
      <c r="F212" s="893">
        <f t="shared" si="21"/>
        <v>0</v>
      </c>
    </row>
    <row r="213" spans="1:6" ht="18" hidden="1" customHeight="1" x14ac:dyDescent="0.3">
      <c r="A213" s="1667"/>
      <c r="B213" s="306"/>
      <c r="C213" s="466">
        <f t="shared" si="22"/>
        <v>0</v>
      </c>
      <c r="D213" s="819"/>
      <c r="E213" s="820"/>
      <c r="F213" s="893">
        <f t="shared" si="21"/>
        <v>0</v>
      </c>
    </row>
    <row r="214" spans="1:6" ht="18" hidden="1" customHeight="1" x14ac:dyDescent="0.3">
      <c r="A214" s="1667"/>
      <c r="B214" s="306"/>
      <c r="C214" s="466">
        <f t="shared" si="22"/>
        <v>0</v>
      </c>
      <c r="D214" s="819"/>
      <c r="E214" s="820"/>
      <c r="F214" s="893">
        <f t="shared" si="21"/>
        <v>0</v>
      </c>
    </row>
    <row r="215" spans="1:6" ht="18" hidden="1" customHeight="1" x14ac:dyDescent="0.3">
      <c r="A215" s="1667"/>
      <c r="B215" s="306"/>
      <c r="C215" s="466">
        <f t="shared" si="22"/>
        <v>0</v>
      </c>
      <c r="D215" s="819"/>
      <c r="E215" s="820"/>
      <c r="F215" s="893">
        <f t="shared" si="21"/>
        <v>0</v>
      </c>
    </row>
    <row r="216" spans="1:6" ht="18" hidden="1" customHeight="1" x14ac:dyDescent="0.3">
      <c r="A216" s="1667"/>
      <c r="B216" s="306"/>
      <c r="C216" s="466">
        <f t="shared" si="22"/>
        <v>0</v>
      </c>
      <c r="D216" s="819"/>
      <c r="E216" s="820"/>
      <c r="F216" s="893">
        <f t="shared" si="21"/>
        <v>0</v>
      </c>
    </row>
    <row r="217" spans="1:6" ht="18" hidden="1" customHeight="1" x14ac:dyDescent="0.3">
      <c r="A217" s="1667"/>
      <c r="B217" s="306"/>
      <c r="C217" s="466">
        <f t="shared" si="22"/>
        <v>0</v>
      </c>
      <c r="D217" s="819"/>
      <c r="E217" s="820"/>
      <c r="F217" s="893">
        <f t="shared" si="21"/>
        <v>0</v>
      </c>
    </row>
    <row r="218" spans="1:6" ht="18" hidden="1" customHeight="1" x14ac:dyDescent="0.3">
      <c r="A218" s="1670"/>
      <c r="B218" s="849" t="s">
        <v>740</v>
      </c>
      <c r="C218" s="850">
        <f>SUM(C208:C217)</f>
        <v>0</v>
      </c>
      <c r="D218" s="850">
        <f>SUM(D208:D217)</f>
        <v>0</v>
      </c>
      <c r="E218" s="850">
        <f>SUM(E208:E217)</f>
        <v>0</v>
      </c>
      <c r="F218" s="893">
        <f t="shared" si="21"/>
        <v>0</v>
      </c>
    </row>
    <row r="219" spans="1:6" ht="18" hidden="1" customHeight="1" x14ac:dyDescent="0.3">
      <c r="A219" s="1669" t="s">
        <v>1087</v>
      </c>
      <c r="B219" s="306"/>
      <c r="C219" s="466">
        <f>SUM(D219:E219)</f>
        <v>0</v>
      </c>
      <c r="D219" s="819"/>
      <c r="E219" s="820"/>
      <c r="F219" s="893">
        <f t="shared" si="21"/>
        <v>0</v>
      </c>
    </row>
    <row r="220" spans="1:6" ht="18" hidden="1" customHeight="1" x14ac:dyDescent="0.3">
      <c r="A220" s="1667"/>
      <c r="B220" s="306"/>
      <c r="C220" s="466">
        <f t="shared" ref="C220:C228" si="23">SUM(D220:E220)</f>
        <v>0</v>
      </c>
      <c r="D220" s="819"/>
      <c r="E220" s="820"/>
      <c r="F220" s="893">
        <f t="shared" si="21"/>
        <v>0</v>
      </c>
    </row>
    <row r="221" spans="1:6" ht="18" hidden="1" customHeight="1" x14ac:dyDescent="0.3">
      <c r="A221" s="1667"/>
      <c r="B221" s="306"/>
      <c r="C221" s="466">
        <f t="shared" si="23"/>
        <v>0</v>
      </c>
      <c r="D221" s="819"/>
      <c r="E221" s="820"/>
      <c r="F221" s="893">
        <f t="shared" si="21"/>
        <v>0</v>
      </c>
    </row>
    <row r="222" spans="1:6" ht="18" hidden="1" customHeight="1" x14ac:dyDescent="0.3">
      <c r="A222" s="1667"/>
      <c r="B222" s="306"/>
      <c r="C222" s="466">
        <f t="shared" si="23"/>
        <v>0</v>
      </c>
      <c r="D222" s="819"/>
      <c r="E222" s="820"/>
      <c r="F222" s="893">
        <f t="shared" si="21"/>
        <v>0</v>
      </c>
    </row>
    <row r="223" spans="1:6" ht="18" hidden="1" customHeight="1" x14ac:dyDescent="0.3">
      <c r="A223" s="1667"/>
      <c r="B223" s="306"/>
      <c r="C223" s="466">
        <f t="shared" si="23"/>
        <v>0</v>
      </c>
      <c r="D223" s="819"/>
      <c r="E223" s="820"/>
      <c r="F223" s="893">
        <f t="shared" si="21"/>
        <v>0</v>
      </c>
    </row>
    <row r="224" spans="1:6" ht="18" hidden="1" customHeight="1" x14ac:dyDescent="0.3">
      <c r="A224" s="1667"/>
      <c r="B224" s="306"/>
      <c r="C224" s="466">
        <f t="shared" si="23"/>
        <v>0</v>
      </c>
      <c r="D224" s="819"/>
      <c r="E224" s="820"/>
      <c r="F224" s="893">
        <f t="shared" si="21"/>
        <v>0</v>
      </c>
    </row>
    <row r="225" spans="1:6" ht="18" hidden="1" customHeight="1" x14ac:dyDescent="0.3">
      <c r="A225" s="1667"/>
      <c r="B225" s="306"/>
      <c r="C225" s="466">
        <f t="shared" si="23"/>
        <v>0</v>
      </c>
      <c r="D225" s="819"/>
      <c r="E225" s="820"/>
      <c r="F225" s="893">
        <f t="shared" si="21"/>
        <v>0</v>
      </c>
    </row>
    <row r="226" spans="1:6" ht="18" hidden="1" customHeight="1" x14ac:dyDescent="0.3">
      <c r="A226" s="1667"/>
      <c r="B226" s="306"/>
      <c r="C226" s="466">
        <f t="shared" si="23"/>
        <v>0</v>
      </c>
      <c r="D226" s="819"/>
      <c r="E226" s="820"/>
      <c r="F226" s="893">
        <f t="shared" si="21"/>
        <v>0</v>
      </c>
    </row>
    <row r="227" spans="1:6" ht="18" hidden="1" customHeight="1" x14ac:dyDescent="0.3">
      <c r="A227" s="1667"/>
      <c r="B227" s="306"/>
      <c r="C227" s="466">
        <f t="shared" si="23"/>
        <v>0</v>
      </c>
      <c r="D227" s="819"/>
      <c r="E227" s="820"/>
      <c r="F227" s="893">
        <f t="shared" si="21"/>
        <v>0</v>
      </c>
    </row>
    <row r="228" spans="1:6" ht="18" hidden="1" customHeight="1" x14ac:dyDescent="0.3">
      <c r="A228" s="1667"/>
      <c r="B228" s="306"/>
      <c r="C228" s="466">
        <f t="shared" si="23"/>
        <v>0</v>
      </c>
      <c r="D228" s="819"/>
      <c r="E228" s="820"/>
      <c r="F228" s="893">
        <f t="shared" si="21"/>
        <v>0</v>
      </c>
    </row>
    <row r="229" spans="1:6" ht="18" hidden="1" customHeight="1" x14ac:dyDescent="0.3">
      <c r="A229" s="1670"/>
      <c r="B229" s="849" t="s">
        <v>740</v>
      </c>
      <c r="C229" s="850">
        <f>SUM(C219:C228)</f>
        <v>0</v>
      </c>
      <c r="D229" s="850">
        <f>SUM(D219:D228)</f>
        <v>0</v>
      </c>
      <c r="E229" s="850">
        <f>SUM(E219:E228)</f>
        <v>0</v>
      </c>
      <c r="F229" s="893">
        <f t="shared" si="21"/>
        <v>0</v>
      </c>
    </row>
    <row r="230" spans="1:6" ht="18" hidden="1" customHeight="1" x14ac:dyDescent="0.3">
      <c r="A230" s="1669" t="s">
        <v>1088</v>
      </c>
      <c r="B230" s="306"/>
      <c r="C230" s="466">
        <f>SUM(D230:E230)</f>
        <v>0</v>
      </c>
      <c r="D230" s="819"/>
      <c r="E230" s="820"/>
      <c r="F230" s="893">
        <f t="shared" si="21"/>
        <v>0</v>
      </c>
    </row>
    <row r="231" spans="1:6" ht="18" hidden="1" customHeight="1" x14ac:dyDescent="0.3">
      <c r="A231" s="1667"/>
      <c r="B231" s="306"/>
      <c r="C231" s="466">
        <f t="shared" ref="C231:C239" si="24">SUM(D231:E231)</f>
        <v>0</v>
      </c>
      <c r="D231" s="819"/>
      <c r="E231" s="820"/>
      <c r="F231" s="893">
        <f t="shared" si="21"/>
        <v>0</v>
      </c>
    </row>
    <row r="232" spans="1:6" ht="18" hidden="1" customHeight="1" x14ac:dyDescent="0.3">
      <c r="A232" s="1667"/>
      <c r="B232" s="306"/>
      <c r="C232" s="466">
        <f t="shared" si="24"/>
        <v>0</v>
      </c>
      <c r="D232" s="819"/>
      <c r="E232" s="820"/>
      <c r="F232" s="893">
        <f t="shared" si="21"/>
        <v>0</v>
      </c>
    </row>
    <row r="233" spans="1:6" ht="18" hidden="1" customHeight="1" x14ac:dyDescent="0.3">
      <c r="A233" s="1667"/>
      <c r="B233" s="306"/>
      <c r="C233" s="466">
        <f t="shared" si="24"/>
        <v>0</v>
      </c>
      <c r="D233" s="819"/>
      <c r="E233" s="820"/>
      <c r="F233" s="893">
        <f t="shared" si="21"/>
        <v>0</v>
      </c>
    </row>
    <row r="234" spans="1:6" ht="18" hidden="1" customHeight="1" x14ac:dyDescent="0.3">
      <c r="A234" s="1667"/>
      <c r="B234" s="306"/>
      <c r="C234" s="466">
        <f t="shared" si="24"/>
        <v>0</v>
      </c>
      <c r="D234" s="819"/>
      <c r="E234" s="820"/>
      <c r="F234" s="893">
        <f t="shared" si="21"/>
        <v>0</v>
      </c>
    </row>
    <row r="235" spans="1:6" ht="18" hidden="1" customHeight="1" x14ac:dyDescent="0.3">
      <c r="A235" s="1667"/>
      <c r="B235" s="306"/>
      <c r="C235" s="466">
        <f t="shared" si="24"/>
        <v>0</v>
      </c>
      <c r="D235" s="819"/>
      <c r="E235" s="820"/>
      <c r="F235" s="893">
        <f t="shared" si="21"/>
        <v>0</v>
      </c>
    </row>
    <row r="236" spans="1:6" ht="18" hidden="1" customHeight="1" x14ac:dyDescent="0.3">
      <c r="A236" s="1667"/>
      <c r="B236" s="306"/>
      <c r="C236" s="466">
        <f t="shared" si="24"/>
        <v>0</v>
      </c>
      <c r="D236" s="819"/>
      <c r="E236" s="820"/>
      <c r="F236" s="893">
        <f t="shared" si="21"/>
        <v>0</v>
      </c>
    </row>
    <row r="237" spans="1:6" ht="18" hidden="1" customHeight="1" x14ac:dyDescent="0.3">
      <c r="A237" s="1667"/>
      <c r="B237" s="306"/>
      <c r="C237" s="466">
        <f t="shared" si="24"/>
        <v>0</v>
      </c>
      <c r="D237" s="819"/>
      <c r="E237" s="820"/>
      <c r="F237" s="893">
        <f t="shared" si="21"/>
        <v>0</v>
      </c>
    </row>
    <row r="238" spans="1:6" ht="18" hidden="1" customHeight="1" x14ac:dyDescent="0.3">
      <c r="A238" s="1667"/>
      <c r="B238" s="306"/>
      <c r="C238" s="466">
        <f t="shared" si="24"/>
        <v>0</v>
      </c>
      <c r="D238" s="819"/>
      <c r="E238" s="820"/>
      <c r="F238" s="893">
        <f t="shared" si="21"/>
        <v>0</v>
      </c>
    </row>
    <row r="239" spans="1:6" ht="18" hidden="1" customHeight="1" x14ac:dyDescent="0.3">
      <c r="A239" s="1667"/>
      <c r="B239" s="306"/>
      <c r="C239" s="466">
        <f t="shared" si="24"/>
        <v>0</v>
      </c>
      <c r="D239" s="819"/>
      <c r="E239" s="820"/>
      <c r="F239" s="893">
        <f t="shared" si="21"/>
        <v>0</v>
      </c>
    </row>
    <row r="240" spans="1:6" ht="18" hidden="1" customHeight="1" x14ac:dyDescent="0.3">
      <c r="A240" s="1670"/>
      <c r="B240" s="849" t="s">
        <v>740</v>
      </c>
      <c r="C240" s="850">
        <f>SUM(C230:C239)</f>
        <v>0</v>
      </c>
      <c r="D240" s="850">
        <f>SUM(D230:D239)</f>
        <v>0</v>
      </c>
      <c r="E240" s="850">
        <f>SUM(E230:E239)</f>
        <v>0</v>
      </c>
      <c r="F240" s="893">
        <f t="shared" si="21"/>
        <v>0</v>
      </c>
    </row>
    <row r="241" spans="1:6" ht="18" hidden="1" customHeight="1" x14ac:dyDescent="0.3">
      <c r="A241" s="1669" t="s">
        <v>1089</v>
      </c>
      <c r="B241" s="306"/>
      <c r="C241" s="466">
        <f>SUM(D241:E241)</f>
        <v>0</v>
      </c>
      <c r="D241" s="819"/>
      <c r="E241" s="820"/>
      <c r="F241" s="893">
        <f t="shared" si="21"/>
        <v>0</v>
      </c>
    </row>
    <row r="242" spans="1:6" ht="18" hidden="1" customHeight="1" x14ac:dyDescent="0.3">
      <c r="A242" s="1667"/>
      <c r="B242" s="306"/>
      <c r="C242" s="466">
        <f t="shared" ref="C242:C250" si="25">SUM(D242:E242)</f>
        <v>0</v>
      </c>
      <c r="D242" s="819"/>
      <c r="E242" s="820"/>
      <c r="F242" s="893">
        <f t="shared" si="21"/>
        <v>0</v>
      </c>
    </row>
    <row r="243" spans="1:6" ht="18" hidden="1" customHeight="1" x14ac:dyDescent="0.3">
      <c r="A243" s="1667"/>
      <c r="B243" s="306"/>
      <c r="C243" s="466">
        <f t="shared" si="25"/>
        <v>0</v>
      </c>
      <c r="D243" s="819"/>
      <c r="E243" s="820"/>
      <c r="F243" s="893">
        <f t="shared" si="21"/>
        <v>0</v>
      </c>
    </row>
    <row r="244" spans="1:6" ht="18" hidden="1" customHeight="1" x14ac:dyDescent="0.3">
      <c r="A244" s="1667"/>
      <c r="B244" s="306"/>
      <c r="C244" s="466">
        <f t="shared" si="25"/>
        <v>0</v>
      </c>
      <c r="D244" s="819"/>
      <c r="E244" s="820"/>
      <c r="F244" s="893">
        <f t="shared" si="21"/>
        <v>0</v>
      </c>
    </row>
    <row r="245" spans="1:6" ht="18" hidden="1" customHeight="1" x14ac:dyDescent="0.3">
      <c r="A245" s="1667"/>
      <c r="B245" s="306"/>
      <c r="C245" s="466">
        <f t="shared" si="25"/>
        <v>0</v>
      </c>
      <c r="D245" s="819"/>
      <c r="E245" s="820"/>
      <c r="F245" s="893">
        <f t="shared" si="21"/>
        <v>0</v>
      </c>
    </row>
    <row r="246" spans="1:6" ht="18" hidden="1" customHeight="1" x14ac:dyDescent="0.3">
      <c r="A246" s="1667"/>
      <c r="B246" s="306"/>
      <c r="C246" s="466">
        <f t="shared" si="25"/>
        <v>0</v>
      </c>
      <c r="D246" s="819"/>
      <c r="E246" s="820"/>
      <c r="F246" s="893">
        <f t="shared" si="21"/>
        <v>0</v>
      </c>
    </row>
    <row r="247" spans="1:6" ht="18" hidden="1" customHeight="1" x14ac:dyDescent="0.3">
      <c r="A247" s="1667"/>
      <c r="B247" s="306"/>
      <c r="C247" s="466">
        <f t="shared" si="25"/>
        <v>0</v>
      </c>
      <c r="D247" s="819"/>
      <c r="E247" s="820"/>
      <c r="F247" s="893">
        <f t="shared" si="21"/>
        <v>0</v>
      </c>
    </row>
    <row r="248" spans="1:6" ht="18" hidden="1" customHeight="1" x14ac:dyDescent="0.3">
      <c r="A248" s="1667"/>
      <c r="B248" s="306"/>
      <c r="C248" s="466">
        <f t="shared" si="25"/>
        <v>0</v>
      </c>
      <c r="D248" s="819"/>
      <c r="E248" s="820"/>
      <c r="F248" s="893">
        <f t="shared" si="21"/>
        <v>0</v>
      </c>
    </row>
    <row r="249" spans="1:6" ht="18" hidden="1" customHeight="1" x14ac:dyDescent="0.3">
      <c r="A249" s="1667"/>
      <c r="B249" s="306"/>
      <c r="C249" s="466">
        <f t="shared" si="25"/>
        <v>0</v>
      </c>
      <c r="D249" s="819"/>
      <c r="E249" s="820"/>
      <c r="F249" s="893">
        <f t="shared" si="21"/>
        <v>0</v>
      </c>
    </row>
    <row r="250" spans="1:6" ht="18" hidden="1" customHeight="1" x14ac:dyDescent="0.3">
      <c r="A250" s="1667"/>
      <c r="B250" s="306"/>
      <c r="C250" s="466">
        <f t="shared" si="25"/>
        <v>0</v>
      </c>
      <c r="D250" s="819"/>
      <c r="E250" s="820"/>
      <c r="F250" s="893">
        <f t="shared" si="21"/>
        <v>0</v>
      </c>
    </row>
    <row r="251" spans="1:6" ht="18" hidden="1" customHeight="1" x14ac:dyDescent="0.3">
      <c r="A251" s="1670"/>
      <c r="B251" s="849" t="s">
        <v>740</v>
      </c>
      <c r="C251" s="850">
        <f>SUM(C241:C250)</f>
        <v>0</v>
      </c>
      <c r="D251" s="850">
        <f>SUM(D241:D250)</f>
        <v>0</v>
      </c>
      <c r="E251" s="850">
        <f>SUM(E241:E250)</f>
        <v>0</v>
      </c>
      <c r="F251" s="893">
        <f t="shared" si="21"/>
        <v>0</v>
      </c>
    </row>
    <row r="252" spans="1:6" ht="18" hidden="1" customHeight="1" x14ac:dyDescent="0.3">
      <c r="A252" s="1669" t="s">
        <v>1090</v>
      </c>
      <c r="B252" s="306"/>
      <c r="C252" s="466">
        <f>SUM(D252:E252)</f>
        <v>0</v>
      </c>
      <c r="D252" s="819"/>
      <c r="E252" s="820"/>
      <c r="F252" s="893">
        <f t="shared" si="21"/>
        <v>0</v>
      </c>
    </row>
    <row r="253" spans="1:6" ht="18" hidden="1" customHeight="1" x14ac:dyDescent="0.3">
      <c r="A253" s="1667"/>
      <c r="B253" s="306"/>
      <c r="C253" s="466">
        <f t="shared" ref="C253:C261" si="26">SUM(D253:E253)</f>
        <v>0</v>
      </c>
      <c r="D253" s="819"/>
      <c r="E253" s="820"/>
      <c r="F253" s="893">
        <f t="shared" si="21"/>
        <v>0</v>
      </c>
    </row>
    <row r="254" spans="1:6" ht="18" hidden="1" customHeight="1" x14ac:dyDescent="0.3">
      <c r="A254" s="1667"/>
      <c r="B254" s="306"/>
      <c r="C254" s="466">
        <f t="shared" si="26"/>
        <v>0</v>
      </c>
      <c r="D254" s="819"/>
      <c r="E254" s="820"/>
      <c r="F254" s="893">
        <f t="shared" si="21"/>
        <v>0</v>
      </c>
    </row>
    <row r="255" spans="1:6" ht="18" hidden="1" customHeight="1" x14ac:dyDescent="0.3">
      <c r="A255" s="1667"/>
      <c r="B255" s="306"/>
      <c r="C255" s="466">
        <f t="shared" si="26"/>
        <v>0</v>
      </c>
      <c r="D255" s="819"/>
      <c r="E255" s="820"/>
      <c r="F255" s="893">
        <f t="shared" si="21"/>
        <v>0</v>
      </c>
    </row>
    <row r="256" spans="1:6" ht="18" hidden="1" customHeight="1" x14ac:dyDescent="0.3">
      <c r="A256" s="1667"/>
      <c r="B256" s="306"/>
      <c r="C256" s="466">
        <f t="shared" si="26"/>
        <v>0</v>
      </c>
      <c r="D256" s="819"/>
      <c r="E256" s="820"/>
      <c r="F256" s="893">
        <f t="shared" si="21"/>
        <v>0</v>
      </c>
    </row>
    <row r="257" spans="1:6" ht="18" hidden="1" customHeight="1" x14ac:dyDescent="0.3">
      <c r="A257" s="1667"/>
      <c r="B257" s="306"/>
      <c r="C257" s="466">
        <f t="shared" si="26"/>
        <v>0</v>
      </c>
      <c r="D257" s="819"/>
      <c r="E257" s="820"/>
      <c r="F257" s="893">
        <f t="shared" si="21"/>
        <v>0</v>
      </c>
    </row>
    <row r="258" spans="1:6" ht="18" hidden="1" customHeight="1" x14ac:dyDescent="0.3">
      <c r="A258" s="1667"/>
      <c r="B258" s="306"/>
      <c r="C258" s="466">
        <f t="shared" si="26"/>
        <v>0</v>
      </c>
      <c r="D258" s="819"/>
      <c r="E258" s="820"/>
      <c r="F258" s="893">
        <f t="shared" si="21"/>
        <v>0</v>
      </c>
    </row>
    <row r="259" spans="1:6" ht="18" hidden="1" customHeight="1" x14ac:dyDescent="0.3">
      <c r="A259" s="1667"/>
      <c r="B259" s="306"/>
      <c r="C259" s="466">
        <f t="shared" si="26"/>
        <v>0</v>
      </c>
      <c r="D259" s="819"/>
      <c r="E259" s="820"/>
      <c r="F259" s="893">
        <f t="shared" si="21"/>
        <v>0</v>
      </c>
    </row>
    <row r="260" spans="1:6" ht="18" hidden="1" customHeight="1" x14ac:dyDescent="0.3">
      <c r="A260" s="1667"/>
      <c r="B260" s="306"/>
      <c r="C260" s="466">
        <f t="shared" si="26"/>
        <v>0</v>
      </c>
      <c r="D260" s="819"/>
      <c r="E260" s="820"/>
      <c r="F260" s="893">
        <f t="shared" si="21"/>
        <v>0</v>
      </c>
    </row>
    <row r="261" spans="1:6" ht="18" hidden="1" customHeight="1" x14ac:dyDescent="0.3">
      <c r="A261" s="1667"/>
      <c r="B261" s="306"/>
      <c r="C261" s="466">
        <f t="shared" si="26"/>
        <v>0</v>
      </c>
      <c r="D261" s="819"/>
      <c r="E261" s="820"/>
      <c r="F261" s="893">
        <f t="shared" si="21"/>
        <v>0</v>
      </c>
    </row>
    <row r="262" spans="1:6" ht="18" hidden="1" customHeight="1" x14ac:dyDescent="0.3">
      <c r="A262" s="1670"/>
      <c r="B262" s="849" t="s">
        <v>740</v>
      </c>
      <c r="C262" s="850">
        <f>SUM(C252:C261)</f>
        <v>0</v>
      </c>
      <c r="D262" s="850">
        <f>SUM(D252:D261)</f>
        <v>0</v>
      </c>
      <c r="E262" s="850">
        <f>SUM(E252:E261)</f>
        <v>0</v>
      </c>
      <c r="F262" s="893">
        <f t="shared" si="21"/>
        <v>0</v>
      </c>
    </row>
    <row r="263" spans="1:6" ht="18" hidden="1" customHeight="1" x14ac:dyDescent="0.3">
      <c r="A263" s="1669" t="s">
        <v>1091</v>
      </c>
      <c r="B263" s="306"/>
      <c r="C263" s="466">
        <f>SUM(D263:E263)</f>
        <v>0</v>
      </c>
      <c r="D263" s="819"/>
      <c r="E263" s="820"/>
      <c r="F263" s="893">
        <f t="shared" si="21"/>
        <v>0</v>
      </c>
    </row>
    <row r="264" spans="1:6" ht="18" hidden="1" customHeight="1" x14ac:dyDescent="0.3">
      <c r="A264" s="1667"/>
      <c r="B264" s="306"/>
      <c r="C264" s="466">
        <f t="shared" ref="C264:C272" si="27">SUM(D264:E264)</f>
        <v>0</v>
      </c>
      <c r="D264" s="819"/>
      <c r="E264" s="820"/>
      <c r="F264" s="893">
        <f t="shared" si="21"/>
        <v>0</v>
      </c>
    </row>
    <row r="265" spans="1:6" ht="18" hidden="1" customHeight="1" x14ac:dyDescent="0.3">
      <c r="A265" s="1667"/>
      <c r="B265" s="306"/>
      <c r="C265" s="466">
        <f t="shared" si="27"/>
        <v>0</v>
      </c>
      <c r="D265" s="819"/>
      <c r="E265" s="820"/>
      <c r="F265" s="893">
        <f t="shared" si="21"/>
        <v>0</v>
      </c>
    </row>
    <row r="266" spans="1:6" ht="18" hidden="1" customHeight="1" x14ac:dyDescent="0.3">
      <c r="A266" s="1667"/>
      <c r="B266" s="306"/>
      <c r="C266" s="466">
        <f t="shared" si="27"/>
        <v>0</v>
      </c>
      <c r="D266" s="819"/>
      <c r="E266" s="820"/>
      <c r="F266" s="893">
        <f t="shared" si="21"/>
        <v>0</v>
      </c>
    </row>
    <row r="267" spans="1:6" ht="18" hidden="1" customHeight="1" x14ac:dyDescent="0.3">
      <c r="A267" s="1667"/>
      <c r="B267" s="306"/>
      <c r="C267" s="466">
        <f t="shared" si="27"/>
        <v>0</v>
      </c>
      <c r="D267" s="819"/>
      <c r="E267" s="820"/>
      <c r="F267" s="893">
        <f t="shared" ref="F267:F330" si="28">SUM(C267:E267)</f>
        <v>0</v>
      </c>
    </row>
    <row r="268" spans="1:6" ht="18" hidden="1" customHeight="1" x14ac:dyDescent="0.3">
      <c r="A268" s="1667"/>
      <c r="B268" s="306"/>
      <c r="C268" s="466">
        <f t="shared" si="27"/>
        <v>0</v>
      </c>
      <c r="D268" s="819"/>
      <c r="E268" s="820"/>
      <c r="F268" s="893">
        <f t="shared" si="28"/>
        <v>0</v>
      </c>
    </row>
    <row r="269" spans="1:6" ht="18" hidden="1" customHeight="1" x14ac:dyDescent="0.3">
      <c r="A269" s="1667"/>
      <c r="B269" s="306"/>
      <c r="C269" s="466">
        <f t="shared" si="27"/>
        <v>0</v>
      </c>
      <c r="D269" s="819"/>
      <c r="E269" s="820"/>
      <c r="F269" s="893">
        <f t="shared" si="28"/>
        <v>0</v>
      </c>
    </row>
    <row r="270" spans="1:6" ht="18" hidden="1" customHeight="1" x14ac:dyDescent="0.3">
      <c r="A270" s="1667"/>
      <c r="B270" s="306"/>
      <c r="C270" s="466">
        <f t="shared" si="27"/>
        <v>0</v>
      </c>
      <c r="D270" s="819"/>
      <c r="E270" s="820"/>
      <c r="F270" s="893">
        <f t="shared" si="28"/>
        <v>0</v>
      </c>
    </row>
    <row r="271" spans="1:6" ht="18" hidden="1" customHeight="1" x14ac:dyDescent="0.3">
      <c r="A271" s="1667"/>
      <c r="B271" s="306"/>
      <c r="C271" s="466">
        <f t="shared" si="27"/>
        <v>0</v>
      </c>
      <c r="D271" s="819"/>
      <c r="E271" s="820"/>
      <c r="F271" s="893">
        <f t="shared" si="28"/>
        <v>0</v>
      </c>
    </row>
    <row r="272" spans="1:6" ht="18" hidden="1" customHeight="1" x14ac:dyDescent="0.3">
      <c r="A272" s="1667"/>
      <c r="B272" s="306"/>
      <c r="C272" s="466">
        <f t="shared" si="27"/>
        <v>0</v>
      </c>
      <c r="D272" s="819"/>
      <c r="E272" s="820"/>
      <c r="F272" s="893">
        <f t="shared" si="28"/>
        <v>0</v>
      </c>
    </row>
    <row r="273" spans="1:6" ht="18" hidden="1" customHeight="1" x14ac:dyDescent="0.3">
      <c r="A273" s="1670"/>
      <c r="B273" s="849" t="s">
        <v>740</v>
      </c>
      <c r="C273" s="850">
        <f>SUM(C263:C272)</f>
        <v>0</v>
      </c>
      <c r="D273" s="850">
        <f>SUM(D263:D272)</f>
        <v>0</v>
      </c>
      <c r="E273" s="850">
        <f>SUM(E263:E272)</f>
        <v>0</v>
      </c>
      <c r="F273" s="893">
        <f t="shared" si="28"/>
        <v>0</v>
      </c>
    </row>
    <row r="274" spans="1:6" ht="18" hidden="1" customHeight="1" x14ac:dyDescent="0.3">
      <c r="A274" s="1669" t="s">
        <v>1092</v>
      </c>
      <c r="B274" s="306"/>
      <c r="C274" s="466">
        <f>SUM(D274:E274)</f>
        <v>0</v>
      </c>
      <c r="D274" s="819"/>
      <c r="E274" s="820"/>
      <c r="F274" s="893">
        <f t="shared" si="28"/>
        <v>0</v>
      </c>
    </row>
    <row r="275" spans="1:6" ht="18" hidden="1" customHeight="1" x14ac:dyDescent="0.3">
      <c r="A275" s="1667"/>
      <c r="B275" s="306"/>
      <c r="C275" s="466">
        <f t="shared" ref="C275:C283" si="29">SUM(D275:E275)</f>
        <v>0</v>
      </c>
      <c r="D275" s="819"/>
      <c r="E275" s="820"/>
      <c r="F275" s="893">
        <f t="shared" si="28"/>
        <v>0</v>
      </c>
    </row>
    <row r="276" spans="1:6" ht="18" hidden="1" customHeight="1" x14ac:dyDescent="0.3">
      <c r="A276" s="1667"/>
      <c r="B276" s="306"/>
      <c r="C276" s="466">
        <f t="shared" si="29"/>
        <v>0</v>
      </c>
      <c r="D276" s="819"/>
      <c r="E276" s="820"/>
      <c r="F276" s="893">
        <f t="shared" si="28"/>
        <v>0</v>
      </c>
    </row>
    <row r="277" spans="1:6" ht="18" hidden="1" customHeight="1" x14ac:dyDescent="0.3">
      <c r="A277" s="1667"/>
      <c r="B277" s="306"/>
      <c r="C277" s="466">
        <f t="shared" si="29"/>
        <v>0</v>
      </c>
      <c r="D277" s="819"/>
      <c r="E277" s="820"/>
      <c r="F277" s="893">
        <f t="shared" si="28"/>
        <v>0</v>
      </c>
    </row>
    <row r="278" spans="1:6" ht="18" hidden="1" customHeight="1" x14ac:dyDescent="0.3">
      <c r="A278" s="1667"/>
      <c r="B278" s="306"/>
      <c r="C278" s="466">
        <f t="shared" si="29"/>
        <v>0</v>
      </c>
      <c r="D278" s="819"/>
      <c r="E278" s="820"/>
      <c r="F278" s="893">
        <f t="shared" si="28"/>
        <v>0</v>
      </c>
    </row>
    <row r="279" spans="1:6" ht="18" hidden="1" customHeight="1" x14ac:dyDescent="0.3">
      <c r="A279" s="1667"/>
      <c r="B279" s="306"/>
      <c r="C279" s="466">
        <f t="shared" si="29"/>
        <v>0</v>
      </c>
      <c r="D279" s="819"/>
      <c r="E279" s="820"/>
      <c r="F279" s="893">
        <f t="shared" si="28"/>
        <v>0</v>
      </c>
    </row>
    <row r="280" spans="1:6" ht="18" hidden="1" customHeight="1" x14ac:dyDescent="0.3">
      <c r="A280" s="1667"/>
      <c r="B280" s="306"/>
      <c r="C280" s="466">
        <f t="shared" si="29"/>
        <v>0</v>
      </c>
      <c r="D280" s="819"/>
      <c r="E280" s="820"/>
      <c r="F280" s="893">
        <f t="shared" si="28"/>
        <v>0</v>
      </c>
    </row>
    <row r="281" spans="1:6" ht="18" hidden="1" customHeight="1" x14ac:dyDescent="0.3">
      <c r="A281" s="1667"/>
      <c r="B281" s="306"/>
      <c r="C281" s="466">
        <f t="shared" si="29"/>
        <v>0</v>
      </c>
      <c r="D281" s="819"/>
      <c r="E281" s="820"/>
      <c r="F281" s="893">
        <f t="shared" si="28"/>
        <v>0</v>
      </c>
    </row>
    <row r="282" spans="1:6" ht="18" hidden="1" customHeight="1" x14ac:dyDescent="0.3">
      <c r="A282" s="1667"/>
      <c r="B282" s="306"/>
      <c r="C282" s="466">
        <f t="shared" si="29"/>
        <v>0</v>
      </c>
      <c r="D282" s="819"/>
      <c r="E282" s="820"/>
      <c r="F282" s="893">
        <f t="shared" si="28"/>
        <v>0</v>
      </c>
    </row>
    <row r="283" spans="1:6" ht="18" hidden="1" customHeight="1" x14ac:dyDescent="0.3">
      <c r="A283" s="1667"/>
      <c r="B283" s="306"/>
      <c r="C283" s="466">
        <f t="shared" si="29"/>
        <v>0</v>
      </c>
      <c r="D283" s="819"/>
      <c r="E283" s="820"/>
      <c r="F283" s="893">
        <f t="shared" si="28"/>
        <v>0</v>
      </c>
    </row>
    <row r="284" spans="1:6" ht="18" hidden="1" customHeight="1" x14ac:dyDescent="0.3">
      <c r="A284" s="1670"/>
      <c r="B284" s="849" t="s">
        <v>740</v>
      </c>
      <c r="C284" s="850">
        <f>SUM(C274:C283)</f>
        <v>0</v>
      </c>
      <c r="D284" s="850">
        <f>SUM(D274:D283)</f>
        <v>0</v>
      </c>
      <c r="E284" s="850">
        <f>SUM(E274:E283)</f>
        <v>0</v>
      </c>
      <c r="F284" s="893">
        <f t="shared" si="28"/>
        <v>0</v>
      </c>
    </row>
    <row r="285" spans="1:6" ht="37.5" hidden="1" x14ac:dyDescent="0.3">
      <c r="A285" s="1665" t="s">
        <v>1093</v>
      </c>
      <c r="B285" s="886" t="s">
        <v>1209</v>
      </c>
      <c r="C285" s="882">
        <f>D285+E285</f>
        <v>0</v>
      </c>
      <c r="D285" s="882"/>
      <c r="E285" s="883">
        <f>800000-800000</f>
        <v>0</v>
      </c>
      <c r="F285" s="893">
        <f t="shared" si="28"/>
        <v>0</v>
      </c>
    </row>
    <row r="286" spans="1:6" ht="18" hidden="1" customHeight="1" x14ac:dyDescent="0.3">
      <c r="A286" s="1667"/>
      <c r="B286" s="306"/>
      <c r="C286" s="466">
        <f t="shared" ref="C286:C294" si="30">SUM(D286:E286)</f>
        <v>0</v>
      </c>
      <c r="D286" s="819"/>
      <c r="E286" s="820"/>
      <c r="F286" s="893">
        <f t="shared" si="28"/>
        <v>0</v>
      </c>
    </row>
    <row r="287" spans="1:6" ht="18" hidden="1" customHeight="1" x14ac:dyDescent="0.3">
      <c r="A287" s="1667"/>
      <c r="B287" s="306"/>
      <c r="C287" s="466">
        <f t="shared" si="30"/>
        <v>0</v>
      </c>
      <c r="D287" s="819"/>
      <c r="E287" s="820"/>
      <c r="F287" s="893">
        <f t="shared" si="28"/>
        <v>0</v>
      </c>
    </row>
    <row r="288" spans="1:6" ht="18" hidden="1" customHeight="1" x14ac:dyDescent="0.3">
      <c r="A288" s="1667"/>
      <c r="B288" s="306"/>
      <c r="C288" s="466">
        <f t="shared" si="30"/>
        <v>0</v>
      </c>
      <c r="D288" s="819"/>
      <c r="E288" s="820"/>
      <c r="F288" s="893">
        <f t="shared" si="28"/>
        <v>0</v>
      </c>
    </row>
    <row r="289" spans="1:6" ht="18" hidden="1" customHeight="1" x14ac:dyDescent="0.3">
      <c r="A289" s="1667"/>
      <c r="B289" s="306"/>
      <c r="C289" s="466">
        <f t="shared" si="30"/>
        <v>0</v>
      </c>
      <c r="D289" s="819"/>
      <c r="E289" s="820"/>
      <c r="F289" s="893">
        <f t="shared" si="28"/>
        <v>0</v>
      </c>
    </row>
    <row r="290" spans="1:6" ht="18" hidden="1" customHeight="1" x14ac:dyDescent="0.3">
      <c r="A290" s="1667"/>
      <c r="B290" s="306"/>
      <c r="C290" s="466">
        <f t="shared" si="30"/>
        <v>0</v>
      </c>
      <c r="D290" s="819"/>
      <c r="E290" s="820"/>
      <c r="F290" s="893">
        <f t="shared" si="28"/>
        <v>0</v>
      </c>
    </row>
    <row r="291" spans="1:6" ht="18" hidden="1" customHeight="1" x14ac:dyDescent="0.3">
      <c r="A291" s="1667"/>
      <c r="B291" s="306"/>
      <c r="C291" s="466">
        <f t="shared" si="30"/>
        <v>0</v>
      </c>
      <c r="D291" s="819"/>
      <c r="E291" s="820"/>
      <c r="F291" s="893">
        <f t="shared" si="28"/>
        <v>0</v>
      </c>
    </row>
    <row r="292" spans="1:6" ht="18" hidden="1" customHeight="1" x14ac:dyDescent="0.3">
      <c r="A292" s="1667"/>
      <c r="B292" s="306"/>
      <c r="C292" s="466">
        <f t="shared" si="30"/>
        <v>0</v>
      </c>
      <c r="D292" s="819"/>
      <c r="E292" s="820"/>
      <c r="F292" s="893">
        <f t="shared" si="28"/>
        <v>0</v>
      </c>
    </row>
    <row r="293" spans="1:6" ht="18" hidden="1" customHeight="1" x14ac:dyDescent="0.3">
      <c r="A293" s="1667"/>
      <c r="B293" s="306"/>
      <c r="C293" s="466">
        <f t="shared" si="30"/>
        <v>0</v>
      </c>
      <c r="D293" s="819"/>
      <c r="E293" s="820"/>
      <c r="F293" s="893">
        <f t="shared" si="28"/>
        <v>0</v>
      </c>
    </row>
    <row r="294" spans="1:6" ht="18" hidden="1" customHeight="1" x14ac:dyDescent="0.3">
      <c r="A294" s="1667"/>
      <c r="B294" s="306"/>
      <c r="C294" s="466">
        <f t="shared" si="30"/>
        <v>0</v>
      </c>
      <c r="D294" s="819"/>
      <c r="E294" s="820"/>
      <c r="F294" s="893">
        <f t="shared" si="28"/>
        <v>0</v>
      </c>
    </row>
    <row r="295" spans="1:6" ht="18" hidden="1" customHeight="1" x14ac:dyDescent="0.3">
      <c r="A295" s="1668"/>
      <c r="B295" s="884" t="s">
        <v>740</v>
      </c>
      <c r="C295" s="885">
        <f>SUM(C285:C294)</f>
        <v>0</v>
      </c>
      <c r="D295" s="885">
        <f>SUM(D285:D294)</f>
        <v>0</v>
      </c>
      <c r="E295" s="885">
        <f>SUM(E285:E294)</f>
        <v>0</v>
      </c>
      <c r="F295" s="893">
        <f t="shared" si="28"/>
        <v>0</v>
      </c>
    </row>
    <row r="296" spans="1:6" ht="18" hidden="1" customHeight="1" x14ac:dyDescent="0.3">
      <c r="A296" s="1669" t="s">
        <v>1094</v>
      </c>
      <c r="B296" s="306"/>
      <c r="C296" s="466">
        <f>SUM(D296:E296)</f>
        <v>0</v>
      </c>
      <c r="D296" s="819"/>
      <c r="E296" s="820"/>
      <c r="F296" s="893">
        <f t="shared" si="28"/>
        <v>0</v>
      </c>
    </row>
    <row r="297" spans="1:6" ht="18" hidden="1" customHeight="1" x14ac:dyDescent="0.3">
      <c r="A297" s="1667"/>
      <c r="B297" s="306"/>
      <c r="C297" s="466">
        <f t="shared" ref="C297:C305" si="31">SUM(D297:E297)</f>
        <v>0</v>
      </c>
      <c r="D297" s="819"/>
      <c r="E297" s="820"/>
      <c r="F297" s="893">
        <f t="shared" si="28"/>
        <v>0</v>
      </c>
    </row>
    <row r="298" spans="1:6" ht="18" hidden="1" customHeight="1" x14ac:dyDescent="0.3">
      <c r="A298" s="1667"/>
      <c r="B298" s="306"/>
      <c r="C298" s="466">
        <f t="shared" si="31"/>
        <v>0</v>
      </c>
      <c r="D298" s="819"/>
      <c r="E298" s="820"/>
      <c r="F298" s="893">
        <f t="shared" si="28"/>
        <v>0</v>
      </c>
    </row>
    <row r="299" spans="1:6" ht="18" hidden="1" customHeight="1" x14ac:dyDescent="0.3">
      <c r="A299" s="1667"/>
      <c r="B299" s="306"/>
      <c r="C299" s="466">
        <f t="shared" si="31"/>
        <v>0</v>
      </c>
      <c r="D299" s="819"/>
      <c r="E299" s="820"/>
      <c r="F299" s="893">
        <f t="shared" si="28"/>
        <v>0</v>
      </c>
    </row>
    <row r="300" spans="1:6" ht="18" hidden="1" customHeight="1" x14ac:dyDescent="0.3">
      <c r="A300" s="1667"/>
      <c r="B300" s="306"/>
      <c r="C300" s="466">
        <f t="shared" si="31"/>
        <v>0</v>
      </c>
      <c r="D300" s="819"/>
      <c r="E300" s="820"/>
      <c r="F300" s="893">
        <f t="shared" si="28"/>
        <v>0</v>
      </c>
    </row>
    <row r="301" spans="1:6" ht="18" hidden="1" customHeight="1" x14ac:dyDescent="0.3">
      <c r="A301" s="1667"/>
      <c r="B301" s="306"/>
      <c r="C301" s="466">
        <f t="shared" si="31"/>
        <v>0</v>
      </c>
      <c r="D301" s="819"/>
      <c r="E301" s="820"/>
      <c r="F301" s="893">
        <f t="shared" si="28"/>
        <v>0</v>
      </c>
    </row>
    <row r="302" spans="1:6" ht="18" hidden="1" customHeight="1" x14ac:dyDescent="0.3">
      <c r="A302" s="1667"/>
      <c r="B302" s="306"/>
      <c r="C302" s="466">
        <f t="shared" si="31"/>
        <v>0</v>
      </c>
      <c r="D302" s="819"/>
      <c r="E302" s="820"/>
      <c r="F302" s="893">
        <f t="shared" si="28"/>
        <v>0</v>
      </c>
    </row>
    <row r="303" spans="1:6" ht="18" hidden="1" customHeight="1" x14ac:dyDescent="0.3">
      <c r="A303" s="1667"/>
      <c r="B303" s="306"/>
      <c r="C303" s="466">
        <f t="shared" si="31"/>
        <v>0</v>
      </c>
      <c r="D303" s="819"/>
      <c r="E303" s="820"/>
      <c r="F303" s="893">
        <f t="shared" si="28"/>
        <v>0</v>
      </c>
    </row>
    <row r="304" spans="1:6" ht="18" hidden="1" customHeight="1" x14ac:dyDescent="0.3">
      <c r="A304" s="1667"/>
      <c r="B304" s="306"/>
      <c r="C304" s="466">
        <f t="shared" si="31"/>
        <v>0</v>
      </c>
      <c r="D304" s="819"/>
      <c r="E304" s="820"/>
      <c r="F304" s="893">
        <f t="shared" si="28"/>
        <v>0</v>
      </c>
    </row>
    <row r="305" spans="1:6" ht="18" hidden="1" customHeight="1" x14ac:dyDescent="0.3">
      <c r="A305" s="1667"/>
      <c r="B305" s="306"/>
      <c r="C305" s="466">
        <f t="shared" si="31"/>
        <v>0</v>
      </c>
      <c r="D305" s="819"/>
      <c r="E305" s="820"/>
      <c r="F305" s="893">
        <f t="shared" si="28"/>
        <v>0</v>
      </c>
    </row>
    <row r="306" spans="1:6" ht="18" hidden="1" customHeight="1" x14ac:dyDescent="0.3">
      <c r="A306" s="1670"/>
      <c r="B306" s="849" t="s">
        <v>740</v>
      </c>
      <c r="C306" s="850">
        <f>SUM(C296:C305)</f>
        <v>0</v>
      </c>
      <c r="D306" s="850">
        <f>SUM(D296:D305)</f>
        <v>0</v>
      </c>
      <c r="E306" s="850">
        <f>SUM(E296:E305)</f>
        <v>0</v>
      </c>
      <c r="F306" s="893">
        <f t="shared" si="28"/>
        <v>0</v>
      </c>
    </row>
    <row r="307" spans="1:6" ht="18" hidden="1" customHeight="1" x14ac:dyDescent="0.3">
      <c r="A307" s="1669" t="s">
        <v>1095</v>
      </c>
      <c r="B307" s="306"/>
      <c r="C307" s="466">
        <f>SUM(D307:E307)</f>
        <v>0</v>
      </c>
      <c r="D307" s="819"/>
      <c r="E307" s="820"/>
      <c r="F307" s="893">
        <f t="shared" si="28"/>
        <v>0</v>
      </c>
    </row>
    <row r="308" spans="1:6" ht="18" hidden="1" customHeight="1" x14ac:dyDescent="0.3">
      <c r="A308" s="1667"/>
      <c r="B308" s="306"/>
      <c r="C308" s="466">
        <f t="shared" ref="C308:C316" si="32">SUM(D308:E308)</f>
        <v>0</v>
      </c>
      <c r="D308" s="819"/>
      <c r="E308" s="820"/>
      <c r="F308" s="893">
        <f t="shared" si="28"/>
        <v>0</v>
      </c>
    </row>
    <row r="309" spans="1:6" ht="18" hidden="1" customHeight="1" x14ac:dyDescent="0.3">
      <c r="A309" s="1667"/>
      <c r="B309" s="306"/>
      <c r="C309" s="466">
        <f t="shared" si="32"/>
        <v>0</v>
      </c>
      <c r="D309" s="819"/>
      <c r="E309" s="820"/>
      <c r="F309" s="893">
        <f t="shared" si="28"/>
        <v>0</v>
      </c>
    </row>
    <row r="310" spans="1:6" ht="18" hidden="1" customHeight="1" x14ac:dyDescent="0.3">
      <c r="A310" s="1667"/>
      <c r="B310" s="306"/>
      <c r="C310" s="466">
        <f t="shared" si="32"/>
        <v>0</v>
      </c>
      <c r="D310" s="819"/>
      <c r="E310" s="820"/>
      <c r="F310" s="893">
        <f t="shared" si="28"/>
        <v>0</v>
      </c>
    </row>
    <row r="311" spans="1:6" ht="18" hidden="1" customHeight="1" x14ac:dyDescent="0.3">
      <c r="A311" s="1667"/>
      <c r="B311" s="306"/>
      <c r="C311" s="466">
        <f t="shared" si="32"/>
        <v>0</v>
      </c>
      <c r="D311" s="819"/>
      <c r="E311" s="820"/>
      <c r="F311" s="893">
        <f t="shared" si="28"/>
        <v>0</v>
      </c>
    </row>
    <row r="312" spans="1:6" ht="18" hidden="1" customHeight="1" x14ac:dyDescent="0.3">
      <c r="A312" s="1667"/>
      <c r="B312" s="306"/>
      <c r="C312" s="466">
        <f t="shared" si="32"/>
        <v>0</v>
      </c>
      <c r="D312" s="819"/>
      <c r="E312" s="820"/>
      <c r="F312" s="893">
        <f t="shared" si="28"/>
        <v>0</v>
      </c>
    </row>
    <row r="313" spans="1:6" ht="18" hidden="1" customHeight="1" x14ac:dyDescent="0.3">
      <c r="A313" s="1667"/>
      <c r="B313" s="306"/>
      <c r="C313" s="466">
        <f t="shared" si="32"/>
        <v>0</v>
      </c>
      <c r="D313" s="819"/>
      <c r="E313" s="820"/>
      <c r="F313" s="893">
        <f t="shared" si="28"/>
        <v>0</v>
      </c>
    </row>
    <row r="314" spans="1:6" ht="18" hidden="1" customHeight="1" x14ac:dyDescent="0.3">
      <c r="A314" s="1667"/>
      <c r="B314" s="306"/>
      <c r="C314" s="466">
        <f t="shared" si="32"/>
        <v>0</v>
      </c>
      <c r="D314" s="819"/>
      <c r="E314" s="820"/>
      <c r="F314" s="893">
        <f t="shared" si="28"/>
        <v>0</v>
      </c>
    </row>
    <row r="315" spans="1:6" ht="18" hidden="1" customHeight="1" x14ac:dyDescent="0.3">
      <c r="A315" s="1667"/>
      <c r="B315" s="306"/>
      <c r="C315" s="466">
        <f t="shared" si="32"/>
        <v>0</v>
      </c>
      <c r="D315" s="819"/>
      <c r="E315" s="820"/>
      <c r="F315" s="893">
        <f t="shared" si="28"/>
        <v>0</v>
      </c>
    </row>
    <row r="316" spans="1:6" ht="18" hidden="1" customHeight="1" x14ac:dyDescent="0.3">
      <c r="A316" s="1667"/>
      <c r="B316" s="306"/>
      <c r="C316" s="466">
        <f t="shared" si="32"/>
        <v>0</v>
      </c>
      <c r="D316" s="819"/>
      <c r="E316" s="820"/>
      <c r="F316" s="893">
        <f t="shared" si="28"/>
        <v>0</v>
      </c>
    </row>
    <row r="317" spans="1:6" ht="18" hidden="1" customHeight="1" x14ac:dyDescent="0.3">
      <c r="A317" s="1670"/>
      <c r="B317" s="849" t="s">
        <v>740</v>
      </c>
      <c r="C317" s="850">
        <f>SUM(C307:C316)</f>
        <v>0</v>
      </c>
      <c r="D317" s="850">
        <f>SUM(D307:D316)</f>
        <v>0</v>
      </c>
      <c r="E317" s="850">
        <f>SUM(E307:E316)</f>
        <v>0</v>
      </c>
      <c r="F317" s="893">
        <f t="shared" si="28"/>
        <v>0</v>
      </c>
    </row>
    <row r="318" spans="1:6" ht="18" hidden="1" customHeight="1" x14ac:dyDescent="0.3">
      <c r="A318" s="1669" t="s">
        <v>1096</v>
      </c>
      <c r="B318" s="306"/>
      <c r="C318" s="466">
        <f>SUM(D318:E318)</f>
        <v>0</v>
      </c>
      <c r="D318" s="819"/>
      <c r="E318" s="820"/>
      <c r="F318" s="893">
        <f t="shared" si="28"/>
        <v>0</v>
      </c>
    </row>
    <row r="319" spans="1:6" ht="18" hidden="1" customHeight="1" x14ac:dyDescent="0.3">
      <c r="A319" s="1667"/>
      <c r="B319" s="306"/>
      <c r="C319" s="466">
        <f t="shared" ref="C319:C327" si="33">SUM(D319:E319)</f>
        <v>0</v>
      </c>
      <c r="D319" s="819"/>
      <c r="E319" s="820"/>
      <c r="F319" s="893">
        <f t="shared" si="28"/>
        <v>0</v>
      </c>
    </row>
    <row r="320" spans="1:6" ht="18" hidden="1" customHeight="1" x14ac:dyDescent="0.3">
      <c r="A320" s="1667"/>
      <c r="B320" s="306"/>
      <c r="C320" s="466">
        <f t="shared" si="33"/>
        <v>0</v>
      </c>
      <c r="D320" s="819"/>
      <c r="E320" s="820"/>
      <c r="F320" s="893">
        <f t="shared" si="28"/>
        <v>0</v>
      </c>
    </row>
    <row r="321" spans="1:6" ht="18" hidden="1" customHeight="1" x14ac:dyDescent="0.3">
      <c r="A321" s="1667"/>
      <c r="B321" s="306"/>
      <c r="C321" s="466">
        <f t="shared" si="33"/>
        <v>0</v>
      </c>
      <c r="D321" s="819"/>
      <c r="E321" s="820"/>
      <c r="F321" s="893">
        <f t="shared" si="28"/>
        <v>0</v>
      </c>
    </row>
    <row r="322" spans="1:6" ht="18" hidden="1" customHeight="1" x14ac:dyDescent="0.3">
      <c r="A322" s="1667"/>
      <c r="B322" s="306"/>
      <c r="C322" s="466">
        <f t="shared" si="33"/>
        <v>0</v>
      </c>
      <c r="D322" s="819"/>
      <c r="E322" s="820"/>
      <c r="F322" s="893">
        <f t="shared" si="28"/>
        <v>0</v>
      </c>
    </row>
    <row r="323" spans="1:6" ht="18" hidden="1" customHeight="1" x14ac:dyDescent="0.3">
      <c r="A323" s="1667"/>
      <c r="B323" s="306"/>
      <c r="C323" s="466">
        <f t="shared" si="33"/>
        <v>0</v>
      </c>
      <c r="D323" s="819"/>
      <c r="E323" s="820"/>
      <c r="F323" s="893">
        <f t="shared" si="28"/>
        <v>0</v>
      </c>
    </row>
    <row r="324" spans="1:6" ht="18" hidden="1" customHeight="1" x14ac:dyDescent="0.3">
      <c r="A324" s="1667"/>
      <c r="B324" s="306"/>
      <c r="C324" s="466">
        <f t="shared" si="33"/>
        <v>0</v>
      </c>
      <c r="D324" s="819"/>
      <c r="E324" s="820"/>
      <c r="F324" s="893">
        <f t="shared" si="28"/>
        <v>0</v>
      </c>
    </row>
    <row r="325" spans="1:6" ht="18" hidden="1" customHeight="1" x14ac:dyDescent="0.3">
      <c r="A325" s="1667"/>
      <c r="B325" s="306"/>
      <c r="C325" s="466">
        <f t="shared" si="33"/>
        <v>0</v>
      </c>
      <c r="D325" s="819"/>
      <c r="E325" s="820"/>
      <c r="F325" s="893">
        <f t="shared" si="28"/>
        <v>0</v>
      </c>
    </row>
    <row r="326" spans="1:6" ht="18" hidden="1" customHeight="1" x14ac:dyDescent="0.3">
      <c r="A326" s="1667"/>
      <c r="B326" s="306"/>
      <c r="C326" s="466">
        <f t="shared" si="33"/>
        <v>0</v>
      </c>
      <c r="D326" s="819"/>
      <c r="E326" s="820"/>
      <c r="F326" s="893">
        <f t="shared" si="28"/>
        <v>0</v>
      </c>
    </row>
    <row r="327" spans="1:6" ht="18" hidden="1" customHeight="1" x14ac:dyDescent="0.3">
      <c r="A327" s="1667"/>
      <c r="B327" s="306"/>
      <c r="C327" s="466">
        <f t="shared" si="33"/>
        <v>0</v>
      </c>
      <c r="D327" s="819"/>
      <c r="E327" s="820"/>
      <c r="F327" s="893">
        <f t="shared" si="28"/>
        <v>0</v>
      </c>
    </row>
    <row r="328" spans="1:6" ht="18" hidden="1" customHeight="1" x14ac:dyDescent="0.3">
      <c r="A328" s="1670"/>
      <c r="B328" s="849" t="s">
        <v>740</v>
      </c>
      <c r="C328" s="850">
        <f>SUM(C318:C327)</f>
        <v>0</v>
      </c>
      <c r="D328" s="850">
        <f>SUM(D318:D327)</f>
        <v>0</v>
      </c>
      <c r="E328" s="850">
        <f>SUM(E318:E327)</f>
        <v>0</v>
      </c>
      <c r="F328" s="893">
        <f t="shared" si="28"/>
        <v>0</v>
      </c>
    </row>
    <row r="329" spans="1:6" ht="18" hidden="1" customHeight="1" x14ac:dyDescent="0.3">
      <c r="A329" s="1669" t="s">
        <v>1097</v>
      </c>
      <c r="B329" s="306"/>
      <c r="C329" s="466">
        <f>SUM(D329:E329)</f>
        <v>0</v>
      </c>
      <c r="D329" s="819"/>
      <c r="E329" s="820"/>
      <c r="F329" s="893">
        <f t="shared" si="28"/>
        <v>0</v>
      </c>
    </row>
    <row r="330" spans="1:6" ht="18" hidden="1" customHeight="1" x14ac:dyDescent="0.3">
      <c r="A330" s="1667"/>
      <c r="B330" s="306"/>
      <c r="C330" s="466">
        <f t="shared" ref="C330:C338" si="34">SUM(D330:E330)</f>
        <v>0</v>
      </c>
      <c r="D330" s="819"/>
      <c r="E330" s="820"/>
      <c r="F330" s="893">
        <f t="shared" si="28"/>
        <v>0</v>
      </c>
    </row>
    <row r="331" spans="1:6" ht="18" hidden="1" customHeight="1" x14ac:dyDescent="0.3">
      <c r="A331" s="1667"/>
      <c r="B331" s="306"/>
      <c r="C331" s="466">
        <f t="shared" si="34"/>
        <v>0</v>
      </c>
      <c r="D331" s="819"/>
      <c r="E331" s="820"/>
      <c r="F331" s="893">
        <f t="shared" ref="F331:F394" si="35">SUM(C331:E331)</f>
        <v>0</v>
      </c>
    </row>
    <row r="332" spans="1:6" ht="18" hidden="1" customHeight="1" x14ac:dyDescent="0.3">
      <c r="A332" s="1667"/>
      <c r="B332" s="306"/>
      <c r="C332" s="466">
        <f t="shared" si="34"/>
        <v>0</v>
      </c>
      <c r="D332" s="819"/>
      <c r="E332" s="820"/>
      <c r="F332" s="893">
        <f t="shared" si="35"/>
        <v>0</v>
      </c>
    </row>
    <row r="333" spans="1:6" ht="18" hidden="1" customHeight="1" x14ac:dyDescent="0.3">
      <c r="A333" s="1667"/>
      <c r="B333" s="306"/>
      <c r="C333" s="466">
        <f t="shared" si="34"/>
        <v>0</v>
      </c>
      <c r="D333" s="819"/>
      <c r="E333" s="820"/>
      <c r="F333" s="893">
        <f t="shared" si="35"/>
        <v>0</v>
      </c>
    </row>
    <row r="334" spans="1:6" ht="18" hidden="1" customHeight="1" x14ac:dyDescent="0.3">
      <c r="A334" s="1667"/>
      <c r="B334" s="306"/>
      <c r="C334" s="466">
        <f t="shared" si="34"/>
        <v>0</v>
      </c>
      <c r="D334" s="819"/>
      <c r="E334" s="820"/>
      <c r="F334" s="893">
        <f t="shared" si="35"/>
        <v>0</v>
      </c>
    </row>
    <row r="335" spans="1:6" ht="18" hidden="1" customHeight="1" x14ac:dyDescent="0.3">
      <c r="A335" s="1667"/>
      <c r="B335" s="306"/>
      <c r="C335" s="466">
        <f t="shared" si="34"/>
        <v>0</v>
      </c>
      <c r="D335" s="819"/>
      <c r="E335" s="820"/>
      <c r="F335" s="893">
        <f t="shared" si="35"/>
        <v>0</v>
      </c>
    </row>
    <row r="336" spans="1:6" ht="18" hidden="1" customHeight="1" x14ac:dyDescent="0.3">
      <c r="A336" s="1667"/>
      <c r="B336" s="306"/>
      <c r="C336" s="466">
        <f t="shared" si="34"/>
        <v>0</v>
      </c>
      <c r="D336" s="819"/>
      <c r="E336" s="820"/>
      <c r="F336" s="893">
        <f t="shared" si="35"/>
        <v>0</v>
      </c>
    </row>
    <row r="337" spans="1:6" ht="18" hidden="1" customHeight="1" x14ac:dyDescent="0.3">
      <c r="A337" s="1667"/>
      <c r="B337" s="306"/>
      <c r="C337" s="466">
        <f t="shared" si="34"/>
        <v>0</v>
      </c>
      <c r="D337" s="819"/>
      <c r="E337" s="820"/>
      <c r="F337" s="893">
        <f t="shared" si="35"/>
        <v>0</v>
      </c>
    </row>
    <row r="338" spans="1:6" ht="18" hidden="1" customHeight="1" x14ac:dyDescent="0.3">
      <c r="A338" s="1667"/>
      <c r="B338" s="306"/>
      <c r="C338" s="466">
        <f t="shared" si="34"/>
        <v>0</v>
      </c>
      <c r="D338" s="819"/>
      <c r="E338" s="820"/>
      <c r="F338" s="893">
        <f t="shared" si="35"/>
        <v>0</v>
      </c>
    </row>
    <row r="339" spans="1:6" ht="18" hidden="1" customHeight="1" x14ac:dyDescent="0.3">
      <c r="A339" s="1670"/>
      <c r="B339" s="849" t="s">
        <v>740</v>
      </c>
      <c r="C339" s="850">
        <f>SUM(C329:C338)</f>
        <v>0</v>
      </c>
      <c r="D339" s="850">
        <f>SUM(D329:D338)</f>
        <v>0</v>
      </c>
      <c r="E339" s="850">
        <f>SUM(E329:E338)</f>
        <v>0</v>
      </c>
      <c r="F339" s="893">
        <f t="shared" si="35"/>
        <v>0</v>
      </c>
    </row>
    <row r="340" spans="1:6" ht="18" hidden="1" customHeight="1" x14ac:dyDescent="0.3">
      <c r="A340" s="1669" t="s">
        <v>1098</v>
      </c>
      <c r="B340" s="306"/>
      <c r="C340" s="466">
        <f>SUM(D340:E340)</f>
        <v>0</v>
      </c>
      <c r="D340" s="819"/>
      <c r="E340" s="820"/>
      <c r="F340" s="893">
        <f t="shared" si="35"/>
        <v>0</v>
      </c>
    </row>
    <row r="341" spans="1:6" ht="18" hidden="1" customHeight="1" x14ac:dyDescent="0.3">
      <c r="A341" s="1667"/>
      <c r="B341" s="306"/>
      <c r="C341" s="466">
        <f t="shared" ref="C341:C349" si="36">SUM(D341:E341)</f>
        <v>0</v>
      </c>
      <c r="D341" s="819"/>
      <c r="E341" s="820"/>
      <c r="F341" s="893">
        <f t="shared" si="35"/>
        <v>0</v>
      </c>
    </row>
    <row r="342" spans="1:6" ht="18" hidden="1" customHeight="1" x14ac:dyDescent="0.3">
      <c r="A342" s="1667"/>
      <c r="B342" s="306"/>
      <c r="C342" s="466">
        <f t="shared" si="36"/>
        <v>0</v>
      </c>
      <c r="D342" s="819"/>
      <c r="E342" s="820"/>
      <c r="F342" s="893">
        <f t="shared" si="35"/>
        <v>0</v>
      </c>
    </row>
    <row r="343" spans="1:6" ht="18" hidden="1" customHeight="1" x14ac:dyDescent="0.3">
      <c r="A343" s="1667"/>
      <c r="B343" s="306"/>
      <c r="C343" s="466">
        <f t="shared" si="36"/>
        <v>0</v>
      </c>
      <c r="D343" s="819"/>
      <c r="E343" s="820"/>
      <c r="F343" s="893">
        <f t="shared" si="35"/>
        <v>0</v>
      </c>
    </row>
    <row r="344" spans="1:6" ht="18" hidden="1" customHeight="1" x14ac:dyDescent="0.3">
      <c r="A344" s="1667"/>
      <c r="B344" s="306"/>
      <c r="C344" s="466">
        <f t="shared" si="36"/>
        <v>0</v>
      </c>
      <c r="D344" s="819"/>
      <c r="E344" s="820"/>
      <c r="F344" s="893">
        <f t="shared" si="35"/>
        <v>0</v>
      </c>
    </row>
    <row r="345" spans="1:6" ht="18" hidden="1" customHeight="1" x14ac:dyDescent="0.3">
      <c r="A345" s="1667"/>
      <c r="B345" s="306"/>
      <c r="C345" s="466">
        <f t="shared" si="36"/>
        <v>0</v>
      </c>
      <c r="D345" s="819"/>
      <c r="E345" s="820"/>
      <c r="F345" s="893">
        <f t="shared" si="35"/>
        <v>0</v>
      </c>
    </row>
    <row r="346" spans="1:6" ht="18" hidden="1" customHeight="1" x14ac:dyDescent="0.3">
      <c r="A346" s="1667"/>
      <c r="B346" s="306"/>
      <c r="C346" s="466">
        <f t="shared" si="36"/>
        <v>0</v>
      </c>
      <c r="D346" s="819"/>
      <c r="E346" s="820"/>
      <c r="F346" s="893">
        <f t="shared" si="35"/>
        <v>0</v>
      </c>
    </row>
    <row r="347" spans="1:6" ht="18" hidden="1" customHeight="1" x14ac:dyDescent="0.3">
      <c r="A347" s="1667"/>
      <c r="B347" s="306"/>
      <c r="C347" s="466">
        <f t="shared" si="36"/>
        <v>0</v>
      </c>
      <c r="D347" s="819"/>
      <c r="E347" s="820"/>
      <c r="F347" s="893">
        <f t="shared" si="35"/>
        <v>0</v>
      </c>
    </row>
    <row r="348" spans="1:6" ht="18" hidden="1" customHeight="1" x14ac:dyDescent="0.3">
      <c r="A348" s="1667"/>
      <c r="B348" s="306"/>
      <c r="C348" s="466">
        <f t="shared" si="36"/>
        <v>0</v>
      </c>
      <c r="D348" s="819"/>
      <c r="E348" s="820"/>
      <c r="F348" s="893">
        <f t="shared" si="35"/>
        <v>0</v>
      </c>
    </row>
    <row r="349" spans="1:6" ht="18" hidden="1" customHeight="1" x14ac:dyDescent="0.3">
      <c r="A349" s="1667"/>
      <c r="B349" s="306"/>
      <c r="C349" s="466">
        <f t="shared" si="36"/>
        <v>0</v>
      </c>
      <c r="D349" s="819"/>
      <c r="E349" s="820"/>
      <c r="F349" s="893">
        <f t="shared" si="35"/>
        <v>0</v>
      </c>
    </row>
    <row r="350" spans="1:6" ht="18" hidden="1" customHeight="1" x14ac:dyDescent="0.3">
      <c r="A350" s="1670"/>
      <c r="B350" s="849" t="s">
        <v>740</v>
      </c>
      <c r="C350" s="850">
        <f>SUM(C340:C349)</f>
        <v>0</v>
      </c>
      <c r="D350" s="850">
        <f>SUM(D340:D349)</f>
        <v>0</v>
      </c>
      <c r="E350" s="850">
        <f>SUM(E340:E349)</f>
        <v>0</v>
      </c>
      <c r="F350" s="893">
        <f t="shared" si="35"/>
        <v>0</v>
      </c>
    </row>
    <row r="351" spans="1:6" ht="18" hidden="1" customHeight="1" x14ac:dyDescent="0.3">
      <c r="A351" s="1669" t="s">
        <v>1099</v>
      </c>
      <c r="B351" s="306"/>
      <c r="C351" s="466">
        <f>SUM(D351:E351)</f>
        <v>0</v>
      </c>
      <c r="D351" s="819"/>
      <c r="E351" s="820"/>
      <c r="F351" s="893">
        <f t="shared" si="35"/>
        <v>0</v>
      </c>
    </row>
    <row r="352" spans="1:6" ht="18" hidden="1" customHeight="1" x14ac:dyDescent="0.3">
      <c r="A352" s="1667"/>
      <c r="B352" s="306"/>
      <c r="C352" s="466">
        <f t="shared" ref="C352:C360" si="37">SUM(D352:E352)</f>
        <v>0</v>
      </c>
      <c r="D352" s="819"/>
      <c r="E352" s="820"/>
      <c r="F352" s="893">
        <f t="shared" si="35"/>
        <v>0</v>
      </c>
    </row>
    <row r="353" spans="1:6" ht="18" hidden="1" customHeight="1" x14ac:dyDescent="0.3">
      <c r="A353" s="1667"/>
      <c r="B353" s="306"/>
      <c r="C353" s="466">
        <f t="shared" si="37"/>
        <v>0</v>
      </c>
      <c r="D353" s="819"/>
      <c r="E353" s="820"/>
      <c r="F353" s="893">
        <f t="shared" si="35"/>
        <v>0</v>
      </c>
    </row>
    <row r="354" spans="1:6" ht="18" hidden="1" customHeight="1" x14ac:dyDescent="0.3">
      <c r="A354" s="1667"/>
      <c r="B354" s="306"/>
      <c r="C354" s="466">
        <f t="shared" si="37"/>
        <v>0</v>
      </c>
      <c r="D354" s="819"/>
      <c r="E354" s="820"/>
      <c r="F354" s="893">
        <f t="shared" si="35"/>
        <v>0</v>
      </c>
    </row>
    <row r="355" spans="1:6" ht="18" hidden="1" customHeight="1" x14ac:dyDescent="0.3">
      <c r="A355" s="1667"/>
      <c r="B355" s="306"/>
      <c r="C355" s="466">
        <f t="shared" si="37"/>
        <v>0</v>
      </c>
      <c r="D355" s="819"/>
      <c r="E355" s="820"/>
      <c r="F355" s="893">
        <f t="shared" si="35"/>
        <v>0</v>
      </c>
    </row>
    <row r="356" spans="1:6" ht="18" hidden="1" customHeight="1" x14ac:dyDescent="0.3">
      <c r="A356" s="1667"/>
      <c r="B356" s="306"/>
      <c r="C356" s="466">
        <f t="shared" si="37"/>
        <v>0</v>
      </c>
      <c r="D356" s="819"/>
      <c r="E356" s="820"/>
      <c r="F356" s="893">
        <f t="shared" si="35"/>
        <v>0</v>
      </c>
    </row>
    <row r="357" spans="1:6" ht="18" hidden="1" customHeight="1" x14ac:dyDescent="0.3">
      <c r="A357" s="1667"/>
      <c r="B357" s="306"/>
      <c r="C357" s="466">
        <f t="shared" si="37"/>
        <v>0</v>
      </c>
      <c r="D357" s="819"/>
      <c r="E357" s="820"/>
      <c r="F357" s="893">
        <f t="shared" si="35"/>
        <v>0</v>
      </c>
    </row>
    <row r="358" spans="1:6" ht="18" hidden="1" customHeight="1" x14ac:dyDescent="0.3">
      <c r="A358" s="1667"/>
      <c r="B358" s="306"/>
      <c r="C358" s="466">
        <f t="shared" si="37"/>
        <v>0</v>
      </c>
      <c r="D358" s="819"/>
      <c r="E358" s="820"/>
      <c r="F358" s="893">
        <f t="shared" si="35"/>
        <v>0</v>
      </c>
    </row>
    <row r="359" spans="1:6" ht="18" hidden="1" customHeight="1" x14ac:dyDescent="0.3">
      <c r="A359" s="1667"/>
      <c r="B359" s="306"/>
      <c r="C359" s="466">
        <f t="shared" si="37"/>
        <v>0</v>
      </c>
      <c r="D359" s="819"/>
      <c r="E359" s="820"/>
      <c r="F359" s="893">
        <f t="shared" si="35"/>
        <v>0</v>
      </c>
    </row>
    <row r="360" spans="1:6" ht="18" hidden="1" customHeight="1" x14ac:dyDescent="0.3">
      <c r="A360" s="1667"/>
      <c r="B360" s="306"/>
      <c r="C360" s="466">
        <f t="shared" si="37"/>
        <v>0</v>
      </c>
      <c r="D360" s="819"/>
      <c r="E360" s="820"/>
      <c r="F360" s="893">
        <f t="shared" si="35"/>
        <v>0</v>
      </c>
    </row>
    <row r="361" spans="1:6" ht="18" hidden="1" customHeight="1" x14ac:dyDescent="0.3">
      <c r="A361" s="1670"/>
      <c r="B361" s="849" t="s">
        <v>740</v>
      </c>
      <c r="C361" s="850">
        <f>SUM(C351:C360)</f>
        <v>0</v>
      </c>
      <c r="D361" s="850">
        <f>SUM(D351:D360)</f>
        <v>0</v>
      </c>
      <c r="E361" s="850">
        <f>SUM(E351:E360)</f>
        <v>0</v>
      </c>
      <c r="F361" s="893">
        <f t="shared" si="35"/>
        <v>0</v>
      </c>
    </row>
    <row r="362" spans="1:6" ht="18" hidden="1" customHeight="1" x14ac:dyDescent="0.3">
      <c r="A362" s="1669" t="s">
        <v>1100</v>
      </c>
      <c r="B362" s="306"/>
      <c r="C362" s="466">
        <f>SUM(D362:E362)</f>
        <v>0</v>
      </c>
      <c r="D362" s="819"/>
      <c r="E362" s="820"/>
      <c r="F362" s="893">
        <f t="shared" si="35"/>
        <v>0</v>
      </c>
    </row>
    <row r="363" spans="1:6" ht="18" hidden="1" customHeight="1" x14ac:dyDescent="0.3">
      <c r="A363" s="1667"/>
      <c r="B363" s="306"/>
      <c r="C363" s="466">
        <f t="shared" ref="C363:C371" si="38">SUM(D363:E363)</f>
        <v>0</v>
      </c>
      <c r="D363" s="819"/>
      <c r="E363" s="820"/>
      <c r="F363" s="893">
        <f t="shared" si="35"/>
        <v>0</v>
      </c>
    </row>
    <row r="364" spans="1:6" ht="18" hidden="1" customHeight="1" x14ac:dyDescent="0.3">
      <c r="A364" s="1667"/>
      <c r="B364" s="306"/>
      <c r="C364" s="466">
        <f t="shared" si="38"/>
        <v>0</v>
      </c>
      <c r="D364" s="819"/>
      <c r="E364" s="820"/>
      <c r="F364" s="893">
        <f t="shared" si="35"/>
        <v>0</v>
      </c>
    </row>
    <row r="365" spans="1:6" ht="18" hidden="1" customHeight="1" x14ac:dyDescent="0.3">
      <c r="A365" s="1667"/>
      <c r="B365" s="306"/>
      <c r="C365" s="466">
        <f t="shared" si="38"/>
        <v>0</v>
      </c>
      <c r="D365" s="819"/>
      <c r="E365" s="820"/>
      <c r="F365" s="893">
        <f t="shared" si="35"/>
        <v>0</v>
      </c>
    </row>
    <row r="366" spans="1:6" ht="18" hidden="1" customHeight="1" x14ac:dyDescent="0.3">
      <c r="A366" s="1667"/>
      <c r="B366" s="306"/>
      <c r="C366" s="466">
        <f t="shared" si="38"/>
        <v>0</v>
      </c>
      <c r="D366" s="819"/>
      <c r="E366" s="820"/>
      <c r="F366" s="893">
        <f t="shared" si="35"/>
        <v>0</v>
      </c>
    </row>
    <row r="367" spans="1:6" ht="18" hidden="1" customHeight="1" x14ac:dyDescent="0.3">
      <c r="A367" s="1667"/>
      <c r="B367" s="306"/>
      <c r="C367" s="466">
        <f t="shared" si="38"/>
        <v>0</v>
      </c>
      <c r="D367" s="819"/>
      <c r="E367" s="820"/>
      <c r="F367" s="893">
        <f t="shared" si="35"/>
        <v>0</v>
      </c>
    </row>
    <row r="368" spans="1:6" ht="18" hidden="1" customHeight="1" x14ac:dyDescent="0.3">
      <c r="A368" s="1667"/>
      <c r="B368" s="306"/>
      <c r="C368" s="466">
        <f t="shared" si="38"/>
        <v>0</v>
      </c>
      <c r="D368" s="819"/>
      <c r="E368" s="820"/>
      <c r="F368" s="893">
        <f t="shared" si="35"/>
        <v>0</v>
      </c>
    </row>
    <row r="369" spans="1:6" ht="18" hidden="1" customHeight="1" x14ac:dyDescent="0.3">
      <c r="A369" s="1667"/>
      <c r="B369" s="306"/>
      <c r="C369" s="466">
        <f t="shared" si="38"/>
        <v>0</v>
      </c>
      <c r="D369" s="819"/>
      <c r="E369" s="820"/>
      <c r="F369" s="893">
        <f t="shared" si="35"/>
        <v>0</v>
      </c>
    </row>
    <row r="370" spans="1:6" ht="18" hidden="1" customHeight="1" x14ac:dyDescent="0.3">
      <c r="A370" s="1667"/>
      <c r="B370" s="306"/>
      <c r="C370" s="466">
        <f t="shared" si="38"/>
        <v>0</v>
      </c>
      <c r="D370" s="819"/>
      <c r="E370" s="820"/>
      <c r="F370" s="893">
        <f t="shared" si="35"/>
        <v>0</v>
      </c>
    </row>
    <row r="371" spans="1:6" ht="18" hidden="1" customHeight="1" x14ac:dyDescent="0.3">
      <c r="A371" s="1667"/>
      <c r="B371" s="306"/>
      <c r="C371" s="466">
        <f t="shared" si="38"/>
        <v>0</v>
      </c>
      <c r="D371" s="819"/>
      <c r="E371" s="820"/>
      <c r="F371" s="893">
        <f t="shared" si="35"/>
        <v>0</v>
      </c>
    </row>
    <row r="372" spans="1:6" ht="18" hidden="1" customHeight="1" x14ac:dyDescent="0.3">
      <c r="A372" s="1670"/>
      <c r="B372" s="849" t="s">
        <v>740</v>
      </c>
      <c r="C372" s="850">
        <f>SUM(C362:C371)</f>
        <v>0</v>
      </c>
      <c r="D372" s="850">
        <f>SUM(D362:D371)</f>
        <v>0</v>
      </c>
      <c r="E372" s="850">
        <f>SUM(E362:E371)</f>
        <v>0</v>
      </c>
      <c r="F372" s="893">
        <f t="shared" si="35"/>
        <v>0</v>
      </c>
    </row>
    <row r="373" spans="1:6" ht="18" hidden="1" customHeight="1" x14ac:dyDescent="0.3">
      <c r="A373" s="1669" t="s">
        <v>1101</v>
      </c>
      <c r="B373" s="306"/>
      <c r="C373" s="466">
        <f>SUM(D373:E373)</f>
        <v>0</v>
      </c>
      <c r="D373" s="819"/>
      <c r="E373" s="820"/>
      <c r="F373" s="893">
        <f t="shared" si="35"/>
        <v>0</v>
      </c>
    </row>
    <row r="374" spans="1:6" ht="18" hidden="1" customHeight="1" x14ac:dyDescent="0.3">
      <c r="A374" s="1667"/>
      <c r="B374" s="306"/>
      <c r="C374" s="466">
        <f t="shared" ref="C374:C382" si="39">SUM(D374:E374)</f>
        <v>0</v>
      </c>
      <c r="D374" s="819"/>
      <c r="E374" s="820"/>
      <c r="F374" s="893">
        <f t="shared" si="35"/>
        <v>0</v>
      </c>
    </row>
    <row r="375" spans="1:6" ht="18" hidden="1" customHeight="1" x14ac:dyDescent="0.3">
      <c r="A375" s="1667"/>
      <c r="B375" s="306"/>
      <c r="C375" s="466">
        <f t="shared" si="39"/>
        <v>0</v>
      </c>
      <c r="D375" s="819"/>
      <c r="E375" s="820"/>
      <c r="F375" s="893">
        <f t="shared" si="35"/>
        <v>0</v>
      </c>
    </row>
    <row r="376" spans="1:6" ht="18" hidden="1" customHeight="1" x14ac:dyDescent="0.3">
      <c r="A376" s="1667"/>
      <c r="B376" s="306"/>
      <c r="C376" s="466">
        <f t="shared" si="39"/>
        <v>0</v>
      </c>
      <c r="D376" s="819"/>
      <c r="E376" s="820"/>
      <c r="F376" s="893">
        <f t="shared" si="35"/>
        <v>0</v>
      </c>
    </row>
    <row r="377" spans="1:6" ht="18" hidden="1" customHeight="1" x14ac:dyDescent="0.3">
      <c r="A377" s="1667"/>
      <c r="B377" s="306"/>
      <c r="C377" s="466">
        <f t="shared" si="39"/>
        <v>0</v>
      </c>
      <c r="D377" s="819"/>
      <c r="E377" s="820"/>
      <c r="F377" s="893">
        <f t="shared" si="35"/>
        <v>0</v>
      </c>
    </row>
    <row r="378" spans="1:6" ht="18" hidden="1" customHeight="1" x14ac:dyDescent="0.3">
      <c r="A378" s="1667"/>
      <c r="B378" s="306"/>
      <c r="C378" s="466">
        <f t="shared" si="39"/>
        <v>0</v>
      </c>
      <c r="D378" s="819"/>
      <c r="E378" s="820"/>
      <c r="F378" s="893">
        <f t="shared" si="35"/>
        <v>0</v>
      </c>
    </row>
    <row r="379" spans="1:6" ht="18" hidden="1" customHeight="1" x14ac:dyDescent="0.3">
      <c r="A379" s="1667"/>
      <c r="B379" s="306"/>
      <c r="C379" s="466">
        <f t="shared" si="39"/>
        <v>0</v>
      </c>
      <c r="D379" s="819"/>
      <c r="E379" s="820"/>
      <c r="F379" s="893">
        <f t="shared" si="35"/>
        <v>0</v>
      </c>
    </row>
    <row r="380" spans="1:6" ht="18" hidden="1" customHeight="1" x14ac:dyDescent="0.3">
      <c r="A380" s="1667"/>
      <c r="B380" s="306"/>
      <c r="C380" s="466">
        <f t="shared" si="39"/>
        <v>0</v>
      </c>
      <c r="D380" s="819"/>
      <c r="E380" s="820"/>
      <c r="F380" s="893">
        <f t="shared" si="35"/>
        <v>0</v>
      </c>
    </row>
    <row r="381" spans="1:6" ht="18" hidden="1" customHeight="1" x14ac:dyDescent="0.3">
      <c r="A381" s="1667"/>
      <c r="B381" s="306"/>
      <c r="C381" s="466">
        <f t="shared" si="39"/>
        <v>0</v>
      </c>
      <c r="D381" s="819"/>
      <c r="E381" s="820"/>
      <c r="F381" s="893">
        <f t="shared" si="35"/>
        <v>0</v>
      </c>
    </row>
    <row r="382" spans="1:6" ht="18" hidden="1" customHeight="1" x14ac:dyDescent="0.3">
      <c r="A382" s="1667"/>
      <c r="B382" s="306"/>
      <c r="C382" s="466">
        <f t="shared" si="39"/>
        <v>0</v>
      </c>
      <c r="D382" s="819"/>
      <c r="E382" s="820"/>
      <c r="F382" s="893">
        <f t="shared" si="35"/>
        <v>0</v>
      </c>
    </row>
    <row r="383" spans="1:6" ht="18" hidden="1" customHeight="1" x14ac:dyDescent="0.3">
      <c r="A383" s="1670"/>
      <c r="B383" s="849" t="s">
        <v>740</v>
      </c>
      <c r="C383" s="850">
        <f>SUM(C373:C382)</f>
        <v>0</v>
      </c>
      <c r="D383" s="850">
        <f>SUM(D373:D382)</f>
        <v>0</v>
      </c>
      <c r="E383" s="850">
        <f>SUM(E373:E382)</f>
        <v>0</v>
      </c>
      <c r="F383" s="893">
        <f t="shared" si="35"/>
        <v>0</v>
      </c>
    </row>
    <row r="384" spans="1:6" ht="18" hidden="1" customHeight="1" x14ac:dyDescent="0.3">
      <c r="A384" s="1669" t="s">
        <v>1102</v>
      </c>
      <c r="B384" s="306"/>
      <c r="C384" s="466">
        <f>SUM(D384:E384)</f>
        <v>0</v>
      </c>
      <c r="D384" s="819"/>
      <c r="E384" s="820"/>
      <c r="F384" s="893">
        <f t="shared" si="35"/>
        <v>0</v>
      </c>
    </row>
    <row r="385" spans="1:6" ht="18" hidden="1" customHeight="1" x14ac:dyDescent="0.3">
      <c r="A385" s="1667"/>
      <c r="B385" s="306"/>
      <c r="C385" s="466">
        <f t="shared" ref="C385:C393" si="40">SUM(D385:E385)</f>
        <v>0</v>
      </c>
      <c r="D385" s="819"/>
      <c r="E385" s="820"/>
      <c r="F385" s="893">
        <f t="shared" si="35"/>
        <v>0</v>
      </c>
    </row>
    <row r="386" spans="1:6" ht="18" hidden="1" customHeight="1" x14ac:dyDescent="0.3">
      <c r="A386" s="1667"/>
      <c r="B386" s="306"/>
      <c r="C386" s="466">
        <f t="shared" si="40"/>
        <v>0</v>
      </c>
      <c r="D386" s="819"/>
      <c r="E386" s="820"/>
      <c r="F386" s="893">
        <f t="shared" si="35"/>
        <v>0</v>
      </c>
    </row>
    <row r="387" spans="1:6" ht="18" hidden="1" customHeight="1" x14ac:dyDescent="0.3">
      <c r="A387" s="1667"/>
      <c r="B387" s="306"/>
      <c r="C387" s="466">
        <f t="shared" si="40"/>
        <v>0</v>
      </c>
      <c r="D387" s="819"/>
      <c r="E387" s="820"/>
      <c r="F387" s="893">
        <f t="shared" si="35"/>
        <v>0</v>
      </c>
    </row>
    <row r="388" spans="1:6" ht="18" hidden="1" customHeight="1" x14ac:dyDescent="0.3">
      <c r="A388" s="1667"/>
      <c r="B388" s="306"/>
      <c r="C388" s="466">
        <f t="shared" si="40"/>
        <v>0</v>
      </c>
      <c r="D388" s="819"/>
      <c r="E388" s="820"/>
      <c r="F388" s="893">
        <f t="shared" si="35"/>
        <v>0</v>
      </c>
    </row>
    <row r="389" spans="1:6" ht="18" hidden="1" customHeight="1" x14ac:dyDescent="0.3">
      <c r="A389" s="1667"/>
      <c r="B389" s="306"/>
      <c r="C389" s="466">
        <f t="shared" si="40"/>
        <v>0</v>
      </c>
      <c r="D389" s="819"/>
      <c r="E389" s="820"/>
      <c r="F389" s="893">
        <f t="shared" si="35"/>
        <v>0</v>
      </c>
    </row>
    <row r="390" spans="1:6" ht="18" hidden="1" customHeight="1" x14ac:dyDescent="0.3">
      <c r="A390" s="1667"/>
      <c r="B390" s="306"/>
      <c r="C390" s="466">
        <f t="shared" si="40"/>
        <v>0</v>
      </c>
      <c r="D390" s="819"/>
      <c r="E390" s="820"/>
      <c r="F390" s="893">
        <f t="shared" si="35"/>
        <v>0</v>
      </c>
    </row>
    <row r="391" spans="1:6" ht="18" hidden="1" customHeight="1" x14ac:dyDescent="0.3">
      <c r="A391" s="1667"/>
      <c r="B391" s="306"/>
      <c r="C391" s="466">
        <f t="shared" si="40"/>
        <v>0</v>
      </c>
      <c r="D391" s="819"/>
      <c r="E391" s="820"/>
      <c r="F391" s="893">
        <f t="shared" si="35"/>
        <v>0</v>
      </c>
    </row>
    <row r="392" spans="1:6" ht="18" hidden="1" customHeight="1" x14ac:dyDescent="0.3">
      <c r="A392" s="1667"/>
      <c r="B392" s="306"/>
      <c r="C392" s="466">
        <f t="shared" si="40"/>
        <v>0</v>
      </c>
      <c r="D392" s="819"/>
      <c r="E392" s="820"/>
      <c r="F392" s="893">
        <f t="shared" si="35"/>
        <v>0</v>
      </c>
    </row>
    <row r="393" spans="1:6" ht="18" hidden="1" customHeight="1" x14ac:dyDescent="0.3">
      <c r="A393" s="1667"/>
      <c r="B393" s="306"/>
      <c r="C393" s="466">
        <f t="shared" si="40"/>
        <v>0</v>
      </c>
      <c r="D393" s="819"/>
      <c r="E393" s="820"/>
      <c r="F393" s="893">
        <f t="shared" si="35"/>
        <v>0</v>
      </c>
    </row>
    <row r="394" spans="1:6" ht="18" hidden="1" customHeight="1" x14ac:dyDescent="0.3">
      <c r="A394" s="1670"/>
      <c r="B394" s="849" t="s">
        <v>740</v>
      </c>
      <c r="C394" s="850">
        <f>SUM(C384:C393)</f>
        <v>0</v>
      </c>
      <c r="D394" s="850">
        <f>SUM(D384:D393)</f>
        <v>0</v>
      </c>
      <c r="E394" s="850">
        <f>SUM(E384:E393)</f>
        <v>0</v>
      </c>
      <c r="F394" s="893">
        <f t="shared" si="35"/>
        <v>0</v>
      </c>
    </row>
    <row r="395" spans="1:6" ht="18" hidden="1" customHeight="1" x14ac:dyDescent="0.3">
      <c r="A395" s="1669" t="s">
        <v>1103</v>
      </c>
      <c r="B395" s="306"/>
      <c r="C395" s="466">
        <f>SUM(D395:E395)</f>
        <v>0</v>
      </c>
      <c r="D395" s="819"/>
      <c r="E395" s="820"/>
      <c r="F395" s="893">
        <f t="shared" ref="F395:F458" si="41">SUM(C395:E395)</f>
        <v>0</v>
      </c>
    </row>
    <row r="396" spans="1:6" ht="18" hidden="1" customHeight="1" x14ac:dyDescent="0.3">
      <c r="A396" s="1667"/>
      <c r="B396" s="306"/>
      <c r="C396" s="466">
        <f t="shared" ref="C396:C404" si="42">SUM(D396:E396)</f>
        <v>0</v>
      </c>
      <c r="D396" s="819"/>
      <c r="E396" s="820"/>
      <c r="F396" s="893">
        <f t="shared" si="41"/>
        <v>0</v>
      </c>
    </row>
    <row r="397" spans="1:6" ht="18" hidden="1" customHeight="1" x14ac:dyDescent="0.3">
      <c r="A397" s="1667"/>
      <c r="B397" s="306"/>
      <c r="C397" s="466">
        <f t="shared" si="42"/>
        <v>0</v>
      </c>
      <c r="D397" s="819"/>
      <c r="E397" s="820"/>
      <c r="F397" s="893">
        <f t="shared" si="41"/>
        <v>0</v>
      </c>
    </row>
    <row r="398" spans="1:6" ht="18" hidden="1" customHeight="1" x14ac:dyDescent="0.3">
      <c r="A398" s="1667"/>
      <c r="B398" s="306"/>
      <c r="C398" s="466">
        <f t="shared" si="42"/>
        <v>0</v>
      </c>
      <c r="D398" s="819"/>
      <c r="E398" s="820"/>
      <c r="F398" s="893">
        <f t="shared" si="41"/>
        <v>0</v>
      </c>
    </row>
    <row r="399" spans="1:6" ht="18" hidden="1" customHeight="1" x14ac:dyDescent="0.3">
      <c r="A399" s="1667"/>
      <c r="B399" s="306"/>
      <c r="C399" s="466">
        <f t="shared" si="42"/>
        <v>0</v>
      </c>
      <c r="D399" s="819"/>
      <c r="E399" s="820"/>
      <c r="F399" s="893">
        <f t="shared" si="41"/>
        <v>0</v>
      </c>
    </row>
    <row r="400" spans="1:6" ht="18" hidden="1" customHeight="1" x14ac:dyDescent="0.3">
      <c r="A400" s="1667"/>
      <c r="B400" s="306"/>
      <c r="C400" s="466">
        <f t="shared" si="42"/>
        <v>0</v>
      </c>
      <c r="D400" s="819"/>
      <c r="E400" s="820"/>
      <c r="F400" s="893">
        <f t="shared" si="41"/>
        <v>0</v>
      </c>
    </row>
    <row r="401" spans="1:6" ht="18" hidden="1" customHeight="1" x14ac:dyDescent="0.3">
      <c r="A401" s="1667"/>
      <c r="B401" s="306"/>
      <c r="C401" s="466">
        <f t="shared" si="42"/>
        <v>0</v>
      </c>
      <c r="D401" s="819"/>
      <c r="E401" s="820"/>
      <c r="F401" s="893">
        <f t="shared" si="41"/>
        <v>0</v>
      </c>
    </row>
    <row r="402" spans="1:6" ht="18" hidden="1" customHeight="1" x14ac:dyDescent="0.3">
      <c r="A402" s="1667"/>
      <c r="B402" s="306"/>
      <c r="C402" s="466">
        <f t="shared" si="42"/>
        <v>0</v>
      </c>
      <c r="D402" s="819"/>
      <c r="E402" s="820"/>
      <c r="F402" s="893">
        <f t="shared" si="41"/>
        <v>0</v>
      </c>
    </row>
    <row r="403" spans="1:6" ht="18" hidden="1" customHeight="1" x14ac:dyDescent="0.3">
      <c r="A403" s="1667"/>
      <c r="B403" s="306"/>
      <c r="C403" s="466">
        <f t="shared" si="42"/>
        <v>0</v>
      </c>
      <c r="D403" s="819"/>
      <c r="E403" s="820"/>
      <c r="F403" s="893">
        <f t="shared" si="41"/>
        <v>0</v>
      </c>
    </row>
    <row r="404" spans="1:6" ht="18" hidden="1" customHeight="1" x14ac:dyDescent="0.3">
      <c r="A404" s="1667"/>
      <c r="B404" s="306"/>
      <c r="C404" s="466">
        <f t="shared" si="42"/>
        <v>0</v>
      </c>
      <c r="D404" s="819"/>
      <c r="E404" s="820"/>
      <c r="F404" s="893">
        <f t="shared" si="41"/>
        <v>0</v>
      </c>
    </row>
    <row r="405" spans="1:6" ht="18" hidden="1" customHeight="1" x14ac:dyDescent="0.3">
      <c r="A405" s="1670"/>
      <c r="B405" s="849" t="s">
        <v>740</v>
      </c>
      <c r="C405" s="850">
        <f>SUM(C395:C404)</f>
        <v>0</v>
      </c>
      <c r="D405" s="850">
        <f>SUM(D395:D404)</f>
        <v>0</v>
      </c>
      <c r="E405" s="850">
        <f>SUM(E395:E404)</f>
        <v>0</v>
      </c>
      <c r="F405" s="893">
        <f t="shared" si="41"/>
        <v>0</v>
      </c>
    </row>
    <row r="406" spans="1:6" ht="18" hidden="1" customHeight="1" x14ac:dyDescent="0.3">
      <c r="A406" s="1669" t="s">
        <v>1104</v>
      </c>
      <c r="B406" s="306"/>
      <c r="C406" s="466">
        <f>SUM(D406:E406)</f>
        <v>0</v>
      </c>
      <c r="D406" s="819"/>
      <c r="E406" s="820"/>
      <c r="F406" s="893">
        <f t="shared" si="41"/>
        <v>0</v>
      </c>
    </row>
    <row r="407" spans="1:6" ht="18" hidden="1" customHeight="1" x14ac:dyDescent="0.3">
      <c r="A407" s="1667"/>
      <c r="B407" s="306"/>
      <c r="C407" s="466">
        <f t="shared" ref="C407:C415" si="43">SUM(D407:E407)</f>
        <v>0</v>
      </c>
      <c r="D407" s="819"/>
      <c r="E407" s="820"/>
      <c r="F407" s="893">
        <f t="shared" si="41"/>
        <v>0</v>
      </c>
    </row>
    <row r="408" spans="1:6" ht="18" hidden="1" customHeight="1" x14ac:dyDescent="0.3">
      <c r="A408" s="1667"/>
      <c r="B408" s="306"/>
      <c r="C408" s="466">
        <f t="shared" si="43"/>
        <v>0</v>
      </c>
      <c r="D408" s="819"/>
      <c r="E408" s="820"/>
      <c r="F408" s="893">
        <f t="shared" si="41"/>
        <v>0</v>
      </c>
    </row>
    <row r="409" spans="1:6" ht="18" hidden="1" customHeight="1" x14ac:dyDescent="0.3">
      <c r="A409" s="1667"/>
      <c r="B409" s="306"/>
      <c r="C409" s="466">
        <f t="shared" si="43"/>
        <v>0</v>
      </c>
      <c r="D409" s="819"/>
      <c r="E409" s="820"/>
      <c r="F409" s="893">
        <f t="shared" si="41"/>
        <v>0</v>
      </c>
    </row>
    <row r="410" spans="1:6" ht="18" hidden="1" customHeight="1" x14ac:dyDescent="0.3">
      <c r="A410" s="1667"/>
      <c r="B410" s="306"/>
      <c r="C410" s="466">
        <f t="shared" si="43"/>
        <v>0</v>
      </c>
      <c r="D410" s="819"/>
      <c r="E410" s="820"/>
      <c r="F410" s="893">
        <f t="shared" si="41"/>
        <v>0</v>
      </c>
    </row>
    <row r="411" spans="1:6" ht="18" hidden="1" customHeight="1" x14ac:dyDescent="0.3">
      <c r="A411" s="1667"/>
      <c r="B411" s="306"/>
      <c r="C411" s="466">
        <f t="shared" si="43"/>
        <v>0</v>
      </c>
      <c r="D411" s="819"/>
      <c r="E411" s="820"/>
      <c r="F411" s="893">
        <f t="shared" si="41"/>
        <v>0</v>
      </c>
    </row>
    <row r="412" spans="1:6" ht="18" hidden="1" customHeight="1" x14ac:dyDescent="0.3">
      <c r="A412" s="1667"/>
      <c r="B412" s="306"/>
      <c r="C412" s="466">
        <f t="shared" si="43"/>
        <v>0</v>
      </c>
      <c r="D412" s="819"/>
      <c r="E412" s="820"/>
      <c r="F412" s="893">
        <f t="shared" si="41"/>
        <v>0</v>
      </c>
    </row>
    <row r="413" spans="1:6" ht="18" hidden="1" customHeight="1" x14ac:dyDescent="0.3">
      <c r="A413" s="1667"/>
      <c r="B413" s="306"/>
      <c r="C413" s="466">
        <f t="shared" si="43"/>
        <v>0</v>
      </c>
      <c r="D413" s="819"/>
      <c r="E413" s="820"/>
      <c r="F413" s="893">
        <f t="shared" si="41"/>
        <v>0</v>
      </c>
    </row>
    <row r="414" spans="1:6" ht="18" hidden="1" customHeight="1" x14ac:dyDescent="0.3">
      <c r="A414" s="1667"/>
      <c r="B414" s="306"/>
      <c r="C414" s="466">
        <f t="shared" si="43"/>
        <v>0</v>
      </c>
      <c r="D414" s="819"/>
      <c r="E414" s="820"/>
      <c r="F414" s="893">
        <f t="shared" si="41"/>
        <v>0</v>
      </c>
    </row>
    <row r="415" spans="1:6" ht="18" hidden="1" customHeight="1" x14ac:dyDescent="0.3">
      <c r="A415" s="1667"/>
      <c r="B415" s="306"/>
      <c r="C415" s="466">
        <f t="shared" si="43"/>
        <v>0</v>
      </c>
      <c r="D415" s="819"/>
      <c r="E415" s="820"/>
      <c r="F415" s="893">
        <f t="shared" si="41"/>
        <v>0</v>
      </c>
    </row>
    <row r="416" spans="1:6" ht="18" hidden="1" customHeight="1" x14ac:dyDescent="0.3">
      <c r="A416" s="1670"/>
      <c r="B416" s="849" t="s">
        <v>740</v>
      </c>
      <c r="C416" s="850">
        <f>SUM(C406:C415)</f>
        <v>0</v>
      </c>
      <c r="D416" s="850">
        <f>SUM(D406:D415)</f>
        <v>0</v>
      </c>
      <c r="E416" s="850">
        <f>SUM(E406:E415)</f>
        <v>0</v>
      </c>
      <c r="F416" s="893">
        <f t="shared" si="41"/>
        <v>0</v>
      </c>
    </row>
    <row r="417" spans="1:6" ht="18" hidden="1" customHeight="1" x14ac:dyDescent="0.3">
      <c r="A417" s="1669" t="s">
        <v>1105</v>
      </c>
      <c r="B417" s="306"/>
      <c r="C417" s="466">
        <f>SUM(D417:E417)</f>
        <v>0</v>
      </c>
      <c r="D417" s="819"/>
      <c r="E417" s="820"/>
      <c r="F417" s="893">
        <f t="shared" si="41"/>
        <v>0</v>
      </c>
    </row>
    <row r="418" spans="1:6" ht="18" hidden="1" customHeight="1" x14ac:dyDescent="0.3">
      <c r="A418" s="1667"/>
      <c r="B418" s="306"/>
      <c r="C418" s="466">
        <f t="shared" ref="C418:C426" si="44">SUM(D418:E418)</f>
        <v>0</v>
      </c>
      <c r="D418" s="819"/>
      <c r="E418" s="820"/>
      <c r="F418" s="893">
        <f t="shared" si="41"/>
        <v>0</v>
      </c>
    </row>
    <row r="419" spans="1:6" ht="18" hidden="1" customHeight="1" x14ac:dyDescent="0.3">
      <c r="A419" s="1667"/>
      <c r="B419" s="306"/>
      <c r="C419" s="466">
        <f t="shared" si="44"/>
        <v>0</v>
      </c>
      <c r="D419" s="819"/>
      <c r="E419" s="820"/>
      <c r="F419" s="893">
        <f t="shared" si="41"/>
        <v>0</v>
      </c>
    </row>
    <row r="420" spans="1:6" ht="18" hidden="1" customHeight="1" x14ac:dyDescent="0.3">
      <c r="A420" s="1667"/>
      <c r="B420" s="306"/>
      <c r="C420" s="466">
        <f t="shared" si="44"/>
        <v>0</v>
      </c>
      <c r="D420" s="819"/>
      <c r="E420" s="820"/>
      <c r="F420" s="893">
        <f t="shared" si="41"/>
        <v>0</v>
      </c>
    </row>
    <row r="421" spans="1:6" ht="18" hidden="1" customHeight="1" x14ac:dyDescent="0.3">
      <c r="A421" s="1667"/>
      <c r="B421" s="306"/>
      <c r="C421" s="466">
        <f t="shared" si="44"/>
        <v>0</v>
      </c>
      <c r="D421" s="819"/>
      <c r="E421" s="820"/>
      <c r="F421" s="893">
        <f t="shared" si="41"/>
        <v>0</v>
      </c>
    </row>
    <row r="422" spans="1:6" ht="18" hidden="1" customHeight="1" x14ac:dyDescent="0.3">
      <c r="A422" s="1667"/>
      <c r="B422" s="306"/>
      <c r="C422" s="466">
        <f t="shared" si="44"/>
        <v>0</v>
      </c>
      <c r="D422" s="819"/>
      <c r="E422" s="820"/>
      <c r="F422" s="893">
        <f t="shared" si="41"/>
        <v>0</v>
      </c>
    </row>
    <row r="423" spans="1:6" ht="18" hidden="1" customHeight="1" x14ac:dyDescent="0.3">
      <c r="A423" s="1667"/>
      <c r="B423" s="306"/>
      <c r="C423" s="466">
        <f t="shared" si="44"/>
        <v>0</v>
      </c>
      <c r="D423" s="819"/>
      <c r="E423" s="820"/>
      <c r="F423" s="893">
        <f t="shared" si="41"/>
        <v>0</v>
      </c>
    </row>
    <row r="424" spans="1:6" ht="18" hidden="1" customHeight="1" x14ac:dyDescent="0.3">
      <c r="A424" s="1667"/>
      <c r="B424" s="306"/>
      <c r="C424" s="466">
        <f t="shared" si="44"/>
        <v>0</v>
      </c>
      <c r="D424" s="819"/>
      <c r="E424" s="820"/>
      <c r="F424" s="893">
        <f t="shared" si="41"/>
        <v>0</v>
      </c>
    </row>
    <row r="425" spans="1:6" ht="18" hidden="1" customHeight="1" x14ac:dyDescent="0.3">
      <c r="A425" s="1667"/>
      <c r="B425" s="306"/>
      <c r="C425" s="466">
        <f t="shared" si="44"/>
        <v>0</v>
      </c>
      <c r="D425" s="819"/>
      <c r="E425" s="820"/>
      <c r="F425" s="893">
        <f t="shared" si="41"/>
        <v>0</v>
      </c>
    </row>
    <row r="426" spans="1:6" ht="18" hidden="1" customHeight="1" x14ac:dyDescent="0.3">
      <c r="A426" s="1667"/>
      <c r="B426" s="306"/>
      <c r="C426" s="466">
        <f t="shared" si="44"/>
        <v>0</v>
      </c>
      <c r="D426" s="819"/>
      <c r="E426" s="820"/>
      <c r="F426" s="893">
        <f t="shared" si="41"/>
        <v>0</v>
      </c>
    </row>
    <row r="427" spans="1:6" ht="18" hidden="1" customHeight="1" x14ac:dyDescent="0.3">
      <c r="A427" s="1670"/>
      <c r="B427" s="849" t="s">
        <v>740</v>
      </c>
      <c r="C427" s="850">
        <f>SUM(C417:C426)</f>
        <v>0</v>
      </c>
      <c r="D427" s="850">
        <f>SUM(D417:D426)</f>
        <v>0</v>
      </c>
      <c r="E427" s="850">
        <f>SUM(E417:E426)</f>
        <v>0</v>
      </c>
      <c r="F427" s="893">
        <f t="shared" si="41"/>
        <v>0</v>
      </c>
    </row>
    <row r="428" spans="1:6" ht="18" hidden="1" customHeight="1" x14ac:dyDescent="0.3">
      <c r="A428" s="1669" t="s">
        <v>1106</v>
      </c>
      <c r="B428" s="306"/>
      <c r="C428" s="466">
        <f>SUM(D428:E428)</f>
        <v>0</v>
      </c>
      <c r="D428" s="819"/>
      <c r="E428" s="820"/>
      <c r="F428" s="893">
        <f t="shared" si="41"/>
        <v>0</v>
      </c>
    </row>
    <row r="429" spans="1:6" ht="18" hidden="1" customHeight="1" x14ac:dyDescent="0.3">
      <c r="A429" s="1667"/>
      <c r="B429" s="306"/>
      <c r="C429" s="466">
        <f t="shared" ref="C429:C437" si="45">SUM(D429:E429)</f>
        <v>0</v>
      </c>
      <c r="D429" s="819"/>
      <c r="E429" s="820"/>
      <c r="F429" s="893">
        <f t="shared" si="41"/>
        <v>0</v>
      </c>
    </row>
    <row r="430" spans="1:6" ht="18" hidden="1" customHeight="1" x14ac:dyDescent="0.3">
      <c r="A430" s="1667"/>
      <c r="B430" s="306"/>
      <c r="C430" s="466">
        <f t="shared" si="45"/>
        <v>0</v>
      </c>
      <c r="D430" s="819"/>
      <c r="E430" s="820"/>
      <c r="F430" s="893">
        <f t="shared" si="41"/>
        <v>0</v>
      </c>
    </row>
    <row r="431" spans="1:6" ht="18" hidden="1" customHeight="1" x14ac:dyDescent="0.3">
      <c r="A431" s="1667"/>
      <c r="B431" s="306"/>
      <c r="C431" s="466">
        <f t="shared" si="45"/>
        <v>0</v>
      </c>
      <c r="D431" s="819"/>
      <c r="E431" s="820"/>
      <c r="F431" s="893">
        <f t="shared" si="41"/>
        <v>0</v>
      </c>
    </row>
    <row r="432" spans="1:6" ht="18" hidden="1" customHeight="1" x14ac:dyDescent="0.3">
      <c r="A432" s="1667"/>
      <c r="B432" s="306"/>
      <c r="C432" s="466">
        <f t="shared" si="45"/>
        <v>0</v>
      </c>
      <c r="D432" s="819"/>
      <c r="E432" s="820"/>
      <c r="F432" s="893">
        <f t="shared" si="41"/>
        <v>0</v>
      </c>
    </row>
    <row r="433" spans="1:6" ht="18" hidden="1" customHeight="1" x14ac:dyDescent="0.3">
      <c r="A433" s="1667"/>
      <c r="B433" s="306"/>
      <c r="C433" s="466">
        <f t="shared" si="45"/>
        <v>0</v>
      </c>
      <c r="D433" s="819"/>
      <c r="E433" s="820"/>
      <c r="F433" s="893">
        <f t="shared" si="41"/>
        <v>0</v>
      </c>
    </row>
    <row r="434" spans="1:6" ht="18" hidden="1" customHeight="1" x14ac:dyDescent="0.3">
      <c r="A434" s="1667"/>
      <c r="B434" s="306"/>
      <c r="C434" s="466">
        <f t="shared" si="45"/>
        <v>0</v>
      </c>
      <c r="D434" s="819"/>
      <c r="E434" s="820"/>
      <c r="F434" s="893">
        <f t="shared" si="41"/>
        <v>0</v>
      </c>
    </row>
    <row r="435" spans="1:6" ht="18" hidden="1" customHeight="1" x14ac:dyDescent="0.3">
      <c r="A435" s="1667"/>
      <c r="B435" s="306"/>
      <c r="C435" s="466">
        <f t="shared" si="45"/>
        <v>0</v>
      </c>
      <c r="D435" s="819"/>
      <c r="E435" s="820"/>
      <c r="F435" s="893">
        <f t="shared" si="41"/>
        <v>0</v>
      </c>
    </row>
    <row r="436" spans="1:6" ht="18" hidden="1" customHeight="1" x14ac:dyDescent="0.3">
      <c r="A436" s="1667"/>
      <c r="B436" s="306"/>
      <c r="C436" s="466">
        <f t="shared" si="45"/>
        <v>0</v>
      </c>
      <c r="D436" s="819"/>
      <c r="E436" s="820"/>
      <c r="F436" s="893">
        <f t="shared" si="41"/>
        <v>0</v>
      </c>
    </row>
    <row r="437" spans="1:6" ht="18" hidden="1" customHeight="1" x14ac:dyDescent="0.3">
      <c r="A437" s="1667"/>
      <c r="B437" s="306"/>
      <c r="C437" s="466">
        <f t="shared" si="45"/>
        <v>0</v>
      </c>
      <c r="D437" s="819"/>
      <c r="E437" s="820"/>
      <c r="F437" s="893">
        <f t="shared" si="41"/>
        <v>0</v>
      </c>
    </row>
    <row r="438" spans="1:6" ht="18" hidden="1" customHeight="1" x14ac:dyDescent="0.3">
      <c r="A438" s="1670"/>
      <c r="B438" s="849" t="s">
        <v>740</v>
      </c>
      <c r="C438" s="850">
        <f>SUM(C428:C437)</f>
        <v>0</v>
      </c>
      <c r="D438" s="850">
        <f>SUM(D428:D437)</f>
        <v>0</v>
      </c>
      <c r="E438" s="850">
        <f>SUM(E428:E437)</f>
        <v>0</v>
      </c>
      <c r="F438" s="893">
        <f t="shared" si="41"/>
        <v>0</v>
      </c>
    </row>
    <row r="439" spans="1:6" ht="18" hidden="1" customHeight="1" x14ac:dyDescent="0.3">
      <c r="A439" s="1669" t="s">
        <v>1107</v>
      </c>
      <c r="B439" s="306"/>
      <c r="C439" s="466">
        <f>SUM(D439:E439)</f>
        <v>0</v>
      </c>
      <c r="D439" s="819"/>
      <c r="E439" s="820"/>
      <c r="F439" s="893">
        <f t="shared" si="41"/>
        <v>0</v>
      </c>
    </row>
    <row r="440" spans="1:6" ht="18" hidden="1" customHeight="1" x14ac:dyDescent="0.3">
      <c r="A440" s="1667"/>
      <c r="B440" s="306"/>
      <c r="C440" s="466">
        <f t="shared" ref="C440:C448" si="46">SUM(D440:E440)</f>
        <v>0</v>
      </c>
      <c r="D440" s="819"/>
      <c r="E440" s="820"/>
      <c r="F440" s="893">
        <f t="shared" si="41"/>
        <v>0</v>
      </c>
    </row>
    <row r="441" spans="1:6" ht="18" hidden="1" customHeight="1" x14ac:dyDescent="0.3">
      <c r="A441" s="1667"/>
      <c r="B441" s="306"/>
      <c r="C441" s="466">
        <f t="shared" si="46"/>
        <v>0</v>
      </c>
      <c r="D441" s="819"/>
      <c r="E441" s="820"/>
      <c r="F441" s="893">
        <f t="shared" si="41"/>
        <v>0</v>
      </c>
    </row>
    <row r="442" spans="1:6" ht="18" hidden="1" customHeight="1" x14ac:dyDescent="0.3">
      <c r="A442" s="1667"/>
      <c r="B442" s="306"/>
      <c r="C442" s="466">
        <f t="shared" si="46"/>
        <v>0</v>
      </c>
      <c r="D442" s="819"/>
      <c r="E442" s="820"/>
      <c r="F442" s="893">
        <f t="shared" si="41"/>
        <v>0</v>
      </c>
    </row>
    <row r="443" spans="1:6" ht="18" hidden="1" customHeight="1" x14ac:dyDescent="0.3">
      <c r="A443" s="1667"/>
      <c r="B443" s="306"/>
      <c r="C443" s="466">
        <f t="shared" si="46"/>
        <v>0</v>
      </c>
      <c r="D443" s="819"/>
      <c r="E443" s="820"/>
      <c r="F443" s="893">
        <f t="shared" si="41"/>
        <v>0</v>
      </c>
    </row>
    <row r="444" spans="1:6" ht="18" hidden="1" customHeight="1" x14ac:dyDescent="0.3">
      <c r="A444" s="1667"/>
      <c r="B444" s="306"/>
      <c r="C444" s="466">
        <f t="shared" si="46"/>
        <v>0</v>
      </c>
      <c r="D444" s="819"/>
      <c r="E444" s="820"/>
      <c r="F444" s="893">
        <f t="shared" si="41"/>
        <v>0</v>
      </c>
    </row>
    <row r="445" spans="1:6" ht="18" hidden="1" customHeight="1" x14ac:dyDescent="0.3">
      <c r="A445" s="1667"/>
      <c r="B445" s="306"/>
      <c r="C445" s="466">
        <f t="shared" si="46"/>
        <v>0</v>
      </c>
      <c r="D445" s="819"/>
      <c r="E445" s="820"/>
      <c r="F445" s="893">
        <f t="shared" si="41"/>
        <v>0</v>
      </c>
    </row>
    <row r="446" spans="1:6" ht="18" hidden="1" customHeight="1" x14ac:dyDescent="0.3">
      <c r="A446" s="1667"/>
      <c r="B446" s="306"/>
      <c r="C446" s="466">
        <f t="shared" si="46"/>
        <v>0</v>
      </c>
      <c r="D446" s="819"/>
      <c r="E446" s="820"/>
      <c r="F446" s="893">
        <f t="shared" si="41"/>
        <v>0</v>
      </c>
    </row>
    <row r="447" spans="1:6" ht="18" hidden="1" customHeight="1" x14ac:dyDescent="0.3">
      <c r="A447" s="1667"/>
      <c r="B447" s="306"/>
      <c r="C447" s="466">
        <f t="shared" si="46"/>
        <v>0</v>
      </c>
      <c r="D447" s="819"/>
      <c r="E447" s="820"/>
      <c r="F447" s="893">
        <f t="shared" si="41"/>
        <v>0</v>
      </c>
    </row>
    <row r="448" spans="1:6" ht="18" hidden="1" customHeight="1" x14ac:dyDescent="0.3">
      <c r="A448" s="1667"/>
      <c r="B448" s="306"/>
      <c r="C448" s="466">
        <f t="shared" si="46"/>
        <v>0</v>
      </c>
      <c r="D448" s="819"/>
      <c r="E448" s="820"/>
      <c r="F448" s="893">
        <f t="shared" si="41"/>
        <v>0</v>
      </c>
    </row>
    <row r="449" spans="1:6" ht="18" hidden="1" customHeight="1" x14ac:dyDescent="0.3">
      <c r="A449" s="1670"/>
      <c r="B449" s="849" t="s">
        <v>740</v>
      </c>
      <c r="C449" s="850">
        <f>SUM(C439:C448)</f>
        <v>0</v>
      </c>
      <c r="D449" s="850">
        <f>SUM(D439:D448)</f>
        <v>0</v>
      </c>
      <c r="E449" s="850">
        <f>SUM(E439:E448)</f>
        <v>0</v>
      </c>
      <c r="F449" s="893">
        <f t="shared" si="41"/>
        <v>0</v>
      </c>
    </row>
    <row r="450" spans="1:6" ht="18" hidden="1" customHeight="1" x14ac:dyDescent="0.3">
      <c r="A450" s="1669" t="s">
        <v>1108</v>
      </c>
      <c r="B450" s="306"/>
      <c r="C450" s="466">
        <f>SUM(D450:E450)</f>
        <v>0</v>
      </c>
      <c r="D450" s="819"/>
      <c r="E450" s="820"/>
      <c r="F450" s="893">
        <f t="shared" si="41"/>
        <v>0</v>
      </c>
    </row>
    <row r="451" spans="1:6" ht="18" hidden="1" customHeight="1" x14ac:dyDescent="0.3">
      <c r="A451" s="1667"/>
      <c r="B451" s="306"/>
      <c r="C451" s="466">
        <f t="shared" ref="C451:C459" si="47">SUM(D451:E451)</f>
        <v>0</v>
      </c>
      <c r="D451" s="819"/>
      <c r="E451" s="820"/>
      <c r="F451" s="893">
        <f t="shared" si="41"/>
        <v>0</v>
      </c>
    </row>
    <row r="452" spans="1:6" ht="18" hidden="1" customHeight="1" x14ac:dyDescent="0.3">
      <c r="A452" s="1667"/>
      <c r="B452" s="306"/>
      <c r="C452" s="466">
        <f t="shared" si="47"/>
        <v>0</v>
      </c>
      <c r="D452" s="819"/>
      <c r="E452" s="820"/>
      <c r="F452" s="893">
        <f t="shared" si="41"/>
        <v>0</v>
      </c>
    </row>
    <row r="453" spans="1:6" ht="18" hidden="1" customHeight="1" x14ac:dyDescent="0.3">
      <c r="A453" s="1667"/>
      <c r="B453" s="306"/>
      <c r="C453" s="466">
        <f t="shared" si="47"/>
        <v>0</v>
      </c>
      <c r="D453" s="819"/>
      <c r="E453" s="820"/>
      <c r="F453" s="893">
        <f t="shared" si="41"/>
        <v>0</v>
      </c>
    </row>
    <row r="454" spans="1:6" ht="18" hidden="1" customHeight="1" x14ac:dyDescent="0.3">
      <c r="A454" s="1667"/>
      <c r="B454" s="306"/>
      <c r="C454" s="466">
        <f t="shared" si="47"/>
        <v>0</v>
      </c>
      <c r="D454" s="819"/>
      <c r="E454" s="820"/>
      <c r="F454" s="893">
        <f t="shared" si="41"/>
        <v>0</v>
      </c>
    </row>
    <row r="455" spans="1:6" ht="18" hidden="1" customHeight="1" x14ac:dyDescent="0.3">
      <c r="A455" s="1667"/>
      <c r="B455" s="306"/>
      <c r="C455" s="466">
        <f t="shared" si="47"/>
        <v>0</v>
      </c>
      <c r="D455" s="819"/>
      <c r="E455" s="820"/>
      <c r="F455" s="893">
        <f t="shared" si="41"/>
        <v>0</v>
      </c>
    </row>
    <row r="456" spans="1:6" ht="18" hidden="1" customHeight="1" x14ac:dyDescent="0.3">
      <c r="A456" s="1667"/>
      <c r="B456" s="306"/>
      <c r="C456" s="466">
        <f t="shared" si="47"/>
        <v>0</v>
      </c>
      <c r="D456" s="819"/>
      <c r="E456" s="820"/>
      <c r="F456" s="893">
        <f t="shared" si="41"/>
        <v>0</v>
      </c>
    </row>
    <row r="457" spans="1:6" ht="18" hidden="1" customHeight="1" x14ac:dyDescent="0.3">
      <c r="A457" s="1667"/>
      <c r="B457" s="306"/>
      <c r="C457" s="466">
        <f t="shared" si="47"/>
        <v>0</v>
      </c>
      <c r="D457" s="819"/>
      <c r="E457" s="820"/>
      <c r="F457" s="893">
        <f t="shared" si="41"/>
        <v>0</v>
      </c>
    </row>
    <row r="458" spans="1:6" ht="18" hidden="1" customHeight="1" x14ac:dyDescent="0.3">
      <c r="A458" s="1667"/>
      <c r="B458" s="306"/>
      <c r="C458" s="466">
        <f t="shared" si="47"/>
        <v>0</v>
      </c>
      <c r="D458" s="819"/>
      <c r="E458" s="820"/>
      <c r="F458" s="893">
        <f t="shared" si="41"/>
        <v>0</v>
      </c>
    </row>
    <row r="459" spans="1:6" ht="18" hidden="1" customHeight="1" x14ac:dyDescent="0.3">
      <c r="A459" s="1667"/>
      <c r="B459" s="306"/>
      <c r="C459" s="466">
        <f t="shared" si="47"/>
        <v>0</v>
      </c>
      <c r="D459" s="819"/>
      <c r="E459" s="820"/>
      <c r="F459" s="893">
        <f t="shared" ref="F459:F522" si="48">SUM(C459:E459)</f>
        <v>0</v>
      </c>
    </row>
    <row r="460" spans="1:6" ht="18" hidden="1" customHeight="1" x14ac:dyDescent="0.3">
      <c r="A460" s="1670"/>
      <c r="B460" s="849" t="s">
        <v>740</v>
      </c>
      <c r="C460" s="850">
        <f>SUM(C450:C459)</f>
        <v>0</v>
      </c>
      <c r="D460" s="850">
        <f>SUM(D450:D459)</f>
        <v>0</v>
      </c>
      <c r="E460" s="850">
        <f>SUM(E450:E459)</f>
        <v>0</v>
      </c>
      <c r="F460" s="893">
        <f t="shared" si="48"/>
        <v>0</v>
      </c>
    </row>
    <row r="461" spans="1:6" ht="18" hidden="1" customHeight="1" x14ac:dyDescent="0.3">
      <c r="A461" s="1669" t="s">
        <v>1109</v>
      </c>
      <c r="B461" s="306"/>
      <c r="C461" s="466">
        <f>SUM(D461:E461)</f>
        <v>0</v>
      </c>
      <c r="D461" s="819"/>
      <c r="E461" s="820"/>
      <c r="F461" s="893">
        <f t="shared" si="48"/>
        <v>0</v>
      </c>
    </row>
    <row r="462" spans="1:6" ht="18" hidden="1" customHeight="1" x14ac:dyDescent="0.3">
      <c r="A462" s="1667"/>
      <c r="B462" s="306"/>
      <c r="C462" s="466">
        <f t="shared" ref="C462:C470" si="49">SUM(D462:E462)</f>
        <v>0</v>
      </c>
      <c r="D462" s="819"/>
      <c r="E462" s="820"/>
      <c r="F462" s="893">
        <f t="shared" si="48"/>
        <v>0</v>
      </c>
    </row>
    <row r="463" spans="1:6" ht="18" hidden="1" customHeight="1" x14ac:dyDescent="0.3">
      <c r="A463" s="1667"/>
      <c r="B463" s="306"/>
      <c r="C463" s="466">
        <f t="shared" si="49"/>
        <v>0</v>
      </c>
      <c r="D463" s="819"/>
      <c r="E463" s="820"/>
      <c r="F463" s="893">
        <f t="shared" si="48"/>
        <v>0</v>
      </c>
    </row>
    <row r="464" spans="1:6" ht="18" hidden="1" customHeight="1" x14ac:dyDescent="0.3">
      <c r="A464" s="1667"/>
      <c r="B464" s="306"/>
      <c r="C464" s="466">
        <f t="shared" si="49"/>
        <v>0</v>
      </c>
      <c r="D464" s="819"/>
      <c r="E464" s="820"/>
      <c r="F464" s="893">
        <f t="shared" si="48"/>
        <v>0</v>
      </c>
    </row>
    <row r="465" spans="1:6" ht="18" hidden="1" customHeight="1" x14ac:dyDescent="0.3">
      <c r="A465" s="1667"/>
      <c r="B465" s="306"/>
      <c r="C465" s="466">
        <f t="shared" si="49"/>
        <v>0</v>
      </c>
      <c r="D465" s="819"/>
      <c r="E465" s="820"/>
      <c r="F465" s="893">
        <f t="shared" si="48"/>
        <v>0</v>
      </c>
    </row>
    <row r="466" spans="1:6" ht="18" hidden="1" customHeight="1" x14ac:dyDescent="0.3">
      <c r="A466" s="1667"/>
      <c r="B466" s="306"/>
      <c r="C466" s="466">
        <f t="shared" si="49"/>
        <v>0</v>
      </c>
      <c r="D466" s="819"/>
      <c r="E466" s="820"/>
      <c r="F466" s="893">
        <f t="shared" si="48"/>
        <v>0</v>
      </c>
    </row>
    <row r="467" spans="1:6" ht="18" hidden="1" customHeight="1" x14ac:dyDescent="0.3">
      <c r="A467" s="1667"/>
      <c r="B467" s="306"/>
      <c r="C467" s="466">
        <f t="shared" si="49"/>
        <v>0</v>
      </c>
      <c r="D467" s="819"/>
      <c r="E467" s="820"/>
      <c r="F467" s="893">
        <f t="shared" si="48"/>
        <v>0</v>
      </c>
    </row>
    <row r="468" spans="1:6" ht="18" hidden="1" customHeight="1" x14ac:dyDescent="0.3">
      <c r="A468" s="1667"/>
      <c r="B468" s="306"/>
      <c r="C468" s="466">
        <f t="shared" si="49"/>
        <v>0</v>
      </c>
      <c r="D468" s="819"/>
      <c r="E468" s="820"/>
      <c r="F468" s="893">
        <f t="shared" si="48"/>
        <v>0</v>
      </c>
    </row>
    <row r="469" spans="1:6" ht="18" hidden="1" customHeight="1" x14ac:dyDescent="0.3">
      <c r="A469" s="1667"/>
      <c r="B469" s="306"/>
      <c r="C469" s="466">
        <f t="shared" si="49"/>
        <v>0</v>
      </c>
      <c r="D469" s="819"/>
      <c r="E469" s="820"/>
      <c r="F469" s="893">
        <f t="shared" si="48"/>
        <v>0</v>
      </c>
    </row>
    <row r="470" spans="1:6" ht="18" hidden="1" customHeight="1" x14ac:dyDescent="0.3">
      <c r="A470" s="1667"/>
      <c r="B470" s="306"/>
      <c r="C470" s="466">
        <f t="shared" si="49"/>
        <v>0</v>
      </c>
      <c r="D470" s="819"/>
      <c r="E470" s="820"/>
      <c r="F470" s="893">
        <f t="shared" si="48"/>
        <v>0</v>
      </c>
    </row>
    <row r="471" spans="1:6" ht="18" hidden="1" customHeight="1" x14ac:dyDescent="0.3">
      <c r="A471" s="1670"/>
      <c r="B471" s="849" t="s">
        <v>740</v>
      </c>
      <c r="C471" s="850">
        <f>SUM(C461:C470)</f>
        <v>0</v>
      </c>
      <c r="D471" s="850">
        <f>SUM(D461:D470)</f>
        <v>0</v>
      </c>
      <c r="E471" s="850">
        <f>SUM(E461:E470)</f>
        <v>0</v>
      </c>
      <c r="F471" s="893">
        <f t="shared" si="48"/>
        <v>0</v>
      </c>
    </row>
    <row r="472" spans="1:6" s="1392" customFormat="1" ht="93.75" hidden="1" x14ac:dyDescent="0.3">
      <c r="A472" s="1669" t="s">
        <v>1110</v>
      </c>
      <c r="B472" s="1384" t="s">
        <v>1805</v>
      </c>
      <c r="C472" s="1389">
        <f>430000-430000</f>
        <v>0</v>
      </c>
      <c r="D472" s="1390"/>
      <c r="E472" s="1389">
        <f>430000-430000</f>
        <v>0</v>
      </c>
      <c r="F472" s="1391">
        <f t="shared" si="48"/>
        <v>0</v>
      </c>
    </row>
    <row r="473" spans="1:6" ht="18" hidden="1" customHeight="1" x14ac:dyDescent="0.3">
      <c r="A473" s="1667"/>
      <c r="B473" s="306"/>
      <c r="C473" s="466">
        <f t="shared" ref="C473:C481" si="50">SUM(D473:E473)</f>
        <v>0</v>
      </c>
      <c r="D473" s="819"/>
      <c r="E473" s="820"/>
      <c r="F473" s="893">
        <f t="shared" si="48"/>
        <v>0</v>
      </c>
    </row>
    <row r="474" spans="1:6" ht="18" hidden="1" customHeight="1" x14ac:dyDescent="0.3">
      <c r="A474" s="1667"/>
      <c r="B474" s="306"/>
      <c r="C474" s="466">
        <f t="shared" si="50"/>
        <v>0</v>
      </c>
      <c r="D474" s="819"/>
      <c r="E474" s="820"/>
      <c r="F474" s="893">
        <f t="shared" si="48"/>
        <v>0</v>
      </c>
    </row>
    <row r="475" spans="1:6" ht="18" hidden="1" customHeight="1" x14ac:dyDescent="0.3">
      <c r="A475" s="1667"/>
      <c r="B475" s="306"/>
      <c r="C475" s="466">
        <f t="shared" si="50"/>
        <v>0</v>
      </c>
      <c r="D475" s="819"/>
      <c r="E475" s="820"/>
      <c r="F475" s="893">
        <f t="shared" si="48"/>
        <v>0</v>
      </c>
    </row>
    <row r="476" spans="1:6" ht="18" hidden="1" customHeight="1" x14ac:dyDescent="0.3">
      <c r="A476" s="1667"/>
      <c r="B476" s="306"/>
      <c r="C476" s="466">
        <f t="shared" si="50"/>
        <v>0</v>
      </c>
      <c r="D476" s="819"/>
      <c r="E476" s="820"/>
      <c r="F476" s="893">
        <f t="shared" si="48"/>
        <v>0</v>
      </c>
    </row>
    <row r="477" spans="1:6" ht="18" hidden="1" customHeight="1" x14ac:dyDescent="0.3">
      <c r="A477" s="1667"/>
      <c r="B477" s="306"/>
      <c r="C477" s="466">
        <f t="shared" si="50"/>
        <v>0</v>
      </c>
      <c r="D477" s="819"/>
      <c r="E477" s="820"/>
      <c r="F477" s="893">
        <f t="shared" si="48"/>
        <v>0</v>
      </c>
    </row>
    <row r="478" spans="1:6" ht="18" hidden="1" customHeight="1" x14ac:dyDescent="0.3">
      <c r="A478" s="1667"/>
      <c r="B478" s="306"/>
      <c r="C478" s="466">
        <f t="shared" si="50"/>
        <v>0</v>
      </c>
      <c r="D478" s="819"/>
      <c r="E478" s="820"/>
      <c r="F478" s="893">
        <f t="shared" si="48"/>
        <v>0</v>
      </c>
    </row>
    <row r="479" spans="1:6" ht="18" hidden="1" customHeight="1" x14ac:dyDescent="0.3">
      <c r="A479" s="1667"/>
      <c r="B479" s="306"/>
      <c r="C479" s="466">
        <f t="shared" si="50"/>
        <v>0</v>
      </c>
      <c r="D479" s="819"/>
      <c r="E479" s="820"/>
      <c r="F479" s="893">
        <f t="shared" si="48"/>
        <v>0</v>
      </c>
    </row>
    <row r="480" spans="1:6" ht="18" hidden="1" customHeight="1" x14ac:dyDescent="0.3">
      <c r="A480" s="1667"/>
      <c r="B480" s="306"/>
      <c r="C480" s="466">
        <f t="shared" si="50"/>
        <v>0</v>
      </c>
      <c r="D480" s="819"/>
      <c r="E480" s="820"/>
      <c r="F480" s="893">
        <f t="shared" si="48"/>
        <v>0</v>
      </c>
    </row>
    <row r="481" spans="1:6" ht="18" hidden="1" customHeight="1" x14ac:dyDescent="0.3">
      <c r="A481" s="1667"/>
      <c r="B481" s="306"/>
      <c r="C481" s="466">
        <f t="shared" si="50"/>
        <v>0</v>
      </c>
      <c r="D481" s="819"/>
      <c r="E481" s="820"/>
      <c r="F481" s="893">
        <f t="shared" si="48"/>
        <v>0</v>
      </c>
    </row>
    <row r="482" spans="1:6" s="1392" customFormat="1" ht="18" hidden="1" customHeight="1" x14ac:dyDescent="0.3">
      <c r="A482" s="1670"/>
      <c r="B482" s="1393" t="s">
        <v>740</v>
      </c>
      <c r="C482" s="1394">
        <f>SUM(C472:C481)</f>
        <v>0</v>
      </c>
      <c r="D482" s="1394">
        <f>SUM(D472:D481)</f>
        <v>0</v>
      </c>
      <c r="E482" s="1394">
        <f>SUM(E472:E481)</f>
        <v>0</v>
      </c>
      <c r="F482" s="1391">
        <f t="shared" si="48"/>
        <v>0</v>
      </c>
    </row>
    <row r="483" spans="1:6" ht="18" hidden="1" customHeight="1" x14ac:dyDescent="0.3">
      <c r="A483" s="1669" t="s">
        <v>1111</v>
      </c>
      <c r="B483" s="306"/>
      <c r="C483" s="466">
        <f>SUM(D483:E483)</f>
        <v>0</v>
      </c>
      <c r="D483" s="819"/>
      <c r="E483" s="820"/>
      <c r="F483" s="893">
        <f t="shared" si="48"/>
        <v>0</v>
      </c>
    </row>
    <row r="484" spans="1:6" ht="18" hidden="1" customHeight="1" x14ac:dyDescent="0.3">
      <c r="A484" s="1667"/>
      <c r="B484" s="306"/>
      <c r="C484" s="466">
        <f t="shared" ref="C484:C492" si="51">SUM(D484:E484)</f>
        <v>0</v>
      </c>
      <c r="D484" s="819"/>
      <c r="E484" s="820"/>
      <c r="F484" s="893">
        <f t="shared" si="48"/>
        <v>0</v>
      </c>
    </row>
    <row r="485" spans="1:6" ht="18" hidden="1" customHeight="1" x14ac:dyDescent="0.3">
      <c r="A485" s="1667"/>
      <c r="B485" s="306"/>
      <c r="C485" s="466">
        <f t="shared" si="51"/>
        <v>0</v>
      </c>
      <c r="D485" s="819"/>
      <c r="E485" s="820"/>
      <c r="F485" s="893">
        <f t="shared" si="48"/>
        <v>0</v>
      </c>
    </row>
    <row r="486" spans="1:6" ht="18" hidden="1" customHeight="1" x14ac:dyDescent="0.3">
      <c r="A486" s="1667"/>
      <c r="B486" s="306"/>
      <c r="C486" s="466">
        <f t="shared" si="51"/>
        <v>0</v>
      </c>
      <c r="D486" s="819"/>
      <c r="E486" s="820"/>
      <c r="F486" s="893">
        <f t="shared" si="48"/>
        <v>0</v>
      </c>
    </row>
    <row r="487" spans="1:6" ht="18" hidden="1" customHeight="1" x14ac:dyDescent="0.3">
      <c r="A487" s="1667"/>
      <c r="B487" s="306"/>
      <c r="C487" s="466">
        <f t="shared" si="51"/>
        <v>0</v>
      </c>
      <c r="D487" s="819"/>
      <c r="E487" s="820"/>
      <c r="F487" s="893">
        <f t="shared" si="48"/>
        <v>0</v>
      </c>
    </row>
    <row r="488" spans="1:6" ht="18" hidden="1" customHeight="1" x14ac:dyDescent="0.3">
      <c r="A488" s="1667"/>
      <c r="B488" s="306"/>
      <c r="C488" s="466">
        <f t="shared" si="51"/>
        <v>0</v>
      </c>
      <c r="D488" s="819"/>
      <c r="E488" s="820"/>
      <c r="F488" s="893">
        <f t="shared" si="48"/>
        <v>0</v>
      </c>
    </row>
    <row r="489" spans="1:6" ht="18" hidden="1" customHeight="1" x14ac:dyDescent="0.3">
      <c r="A489" s="1667"/>
      <c r="B489" s="306"/>
      <c r="C489" s="466">
        <f t="shared" si="51"/>
        <v>0</v>
      </c>
      <c r="D489" s="819"/>
      <c r="E489" s="820"/>
      <c r="F489" s="893">
        <f t="shared" si="48"/>
        <v>0</v>
      </c>
    </row>
    <row r="490" spans="1:6" ht="18" hidden="1" customHeight="1" x14ac:dyDescent="0.3">
      <c r="A490" s="1667"/>
      <c r="B490" s="306"/>
      <c r="C490" s="466">
        <f t="shared" si="51"/>
        <v>0</v>
      </c>
      <c r="D490" s="819"/>
      <c r="E490" s="820"/>
      <c r="F490" s="893">
        <f t="shared" si="48"/>
        <v>0</v>
      </c>
    </row>
    <row r="491" spans="1:6" ht="18" hidden="1" customHeight="1" x14ac:dyDescent="0.3">
      <c r="A491" s="1667"/>
      <c r="B491" s="306"/>
      <c r="C491" s="466">
        <f t="shared" si="51"/>
        <v>0</v>
      </c>
      <c r="D491" s="819"/>
      <c r="E491" s="820"/>
      <c r="F491" s="893">
        <f t="shared" si="48"/>
        <v>0</v>
      </c>
    </row>
    <row r="492" spans="1:6" ht="18" hidden="1" customHeight="1" x14ac:dyDescent="0.3">
      <c r="A492" s="1667"/>
      <c r="B492" s="306"/>
      <c r="C492" s="466">
        <f t="shared" si="51"/>
        <v>0</v>
      </c>
      <c r="D492" s="819"/>
      <c r="E492" s="820"/>
      <c r="F492" s="893">
        <f t="shared" si="48"/>
        <v>0</v>
      </c>
    </row>
    <row r="493" spans="1:6" ht="18" hidden="1" customHeight="1" x14ac:dyDescent="0.3">
      <c r="A493" s="1670"/>
      <c r="B493" s="849" t="s">
        <v>740</v>
      </c>
      <c r="C493" s="850">
        <f>SUM(C483:C492)</f>
        <v>0</v>
      </c>
      <c r="D493" s="850">
        <f>SUM(D483:D492)</f>
        <v>0</v>
      </c>
      <c r="E493" s="850">
        <f>SUM(E483:E492)</f>
        <v>0</v>
      </c>
      <c r="F493" s="893">
        <f t="shared" si="48"/>
        <v>0</v>
      </c>
    </row>
    <row r="494" spans="1:6" ht="18" hidden="1" customHeight="1" x14ac:dyDescent="0.3">
      <c r="A494" s="1669" t="s">
        <v>1112</v>
      </c>
      <c r="B494" s="306"/>
      <c r="C494" s="466">
        <f>SUM(D494:E494)</f>
        <v>0</v>
      </c>
      <c r="D494" s="819"/>
      <c r="E494" s="820"/>
      <c r="F494" s="893">
        <f t="shared" si="48"/>
        <v>0</v>
      </c>
    </row>
    <row r="495" spans="1:6" ht="18" hidden="1" customHeight="1" x14ac:dyDescent="0.3">
      <c r="A495" s="1667"/>
      <c r="B495" s="306"/>
      <c r="C495" s="466">
        <f t="shared" ref="C495:C503" si="52">SUM(D495:E495)</f>
        <v>0</v>
      </c>
      <c r="D495" s="819"/>
      <c r="E495" s="820"/>
      <c r="F495" s="893">
        <f t="shared" si="48"/>
        <v>0</v>
      </c>
    </row>
    <row r="496" spans="1:6" ht="18" hidden="1" customHeight="1" x14ac:dyDescent="0.3">
      <c r="A496" s="1667"/>
      <c r="B496" s="306"/>
      <c r="C496" s="466">
        <f t="shared" si="52"/>
        <v>0</v>
      </c>
      <c r="D496" s="819"/>
      <c r="E496" s="820"/>
      <c r="F496" s="893">
        <f t="shared" si="48"/>
        <v>0</v>
      </c>
    </row>
    <row r="497" spans="1:6" ht="18" hidden="1" customHeight="1" x14ac:dyDescent="0.3">
      <c r="A497" s="1667"/>
      <c r="B497" s="306"/>
      <c r="C497" s="466">
        <f t="shared" si="52"/>
        <v>0</v>
      </c>
      <c r="D497" s="819"/>
      <c r="E497" s="820"/>
      <c r="F497" s="893">
        <f t="shared" si="48"/>
        <v>0</v>
      </c>
    </row>
    <row r="498" spans="1:6" ht="18" hidden="1" customHeight="1" x14ac:dyDescent="0.3">
      <c r="A498" s="1667"/>
      <c r="B498" s="306"/>
      <c r="C498" s="466">
        <f t="shared" si="52"/>
        <v>0</v>
      </c>
      <c r="D498" s="819"/>
      <c r="E498" s="820"/>
      <c r="F498" s="893">
        <f t="shared" si="48"/>
        <v>0</v>
      </c>
    </row>
    <row r="499" spans="1:6" ht="18" hidden="1" customHeight="1" x14ac:dyDescent="0.3">
      <c r="A499" s="1667"/>
      <c r="B499" s="306"/>
      <c r="C499" s="466">
        <f t="shared" si="52"/>
        <v>0</v>
      </c>
      <c r="D499" s="819"/>
      <c r="E499" s="820"/>
      <c r="F499" s="893">
        <f t="shared" si="48"/>
        <v>0</v>
      </c>
    </row>
    <row r="500" spans="1:6" ht="18" hidden="1" customHeight="1" x14ac:dyDescent="0.3">
      <c r="A500" s="1667"/>
      <c r="B500" s="306"/>
      <c r="C500" s="466">
        <f t="shared" si="52"/>
        <v>0</v>
      </c>
      <c r="D500" s="819"/>
      <c r="E500" s="820"/>
      <c r="F500" s="893">
        <f t="shared" si="48"/>
        <v>0</v>
      </c>
    </row>
    <row r="501" spans="1:6" ht="18" hidden="1" customHeight="1" x14ac:dyDescent="0.3">
      <c r="A501" s="1667"/>
      <c r="B501" s="306"/>
      <c r="C501" s="466">
        <f t="shared" si="52"/>
        <v>0</v>
      </c>
      <c r="D501" s="819"/>
      <c r="E501" s="820"/>
      <c r="F501" s="893">
        <f t="shared" si="48"/>
        <v>0</v>
      </c>
    </row>
    <row r="502" spans="1:6" ht="18" hidden="1" customHeight="1" x14ac:dyDescent="0.3">
      <c r="A502" s="1667"/>
      <c r="B502" s="306"/>
      <c r="C502" s="466">
        <f t="shared" si="52"/>
        <v>0</v>
      </c>
      <c r="D502" s="819"/>
      <c r="E502" s="820"/>
      <c r="F502" s="893">
        <f t="shared" si="48"/>
        <v>0</v>
      </c>
    </row>
    <row r="503" spans="1:6" ht="18" hidden="1" customHeight="1" x14ac:dyDescent="0.3">
      <c r="A503" s="1667"/>
      <c r="B503" s="306"/>
      <c r="C503" s="466">
        <f t="shared" si="52"/>
        <v>0</v>
      </c>
      <c r="D503" s="819"/>
      <c r="E503" s="820"/>
      <c r="F503" s="893">
        <f t="shared" si="48"/>
        <v>0</v>
      </c>
    </row>
    <row r="504" spans="1:6" ht="18" hidden="1" customHeight="1" x14ac:dyDescent="0.3">
      <c r="A504" s="1670"/>
      <c r="B504" s="849" t="s">
        <v>740</v>
      </c>
      <c r="C504" s="850">
        <f>SUM(C494:C503)</f>
        <v>0</v>
      </c>
      <c r="D504" s="850">
        <f>SUM(D494:D503)</f>
        <v>0</v>
      </c>
      <c r="E504" s="850">
        <f>SUM(E494:E503)</f>
        <v>0</v>
      </c>
      <c r="F504" s="893">
        <f t="shared" si="48"/>
        <v>0</v>
      </c>
    </row>
    <row r="505" spans="1:6" ht="18" hidden="1" customHeight="1" x14ac:dyDescent="0.3">
      <c r="A505" s="1669" t="s">
        <v>1113</v>
      </c>
      <c r="B505" s="306"/>
      <c r="C505" s="466">
        <f>SUM(D505:E505)</f>
        <v>0</v>
      </c>
      <c r="D505" s="819"/>
      <c r="E505" s="820"/>
      <c r="F505" s="893">
        <f t="shared" si="48"/>
        <v>0</v>
      </c>
    </row>
    <row r="506" spans="1:6" ht="18" hidden="1" customHeight="1" x14ac:dyDescent="0.3">
      <c r="A506" s="1667"/>
      <c r="B506" s="306"/>
      <c r="C506" s="466">
        <f t="shared" ref="C506:C514" si="53">SUM(D506:E506)</f>
        <v>0</v>
      </c>
      <c r="D506" s="819"/>
      <c r="E506" s="820"/>
      <c r="F506" s="893">
        <f t="shared" si="48"/>
        <v>0</v>
      </c>
    </row>
    <row r="507" spans="1:6" ht="18" hidden="1" customHeight="1" x14ac:dyDescent="0.3">
      <c r="A507" s="1667"/>
      <c r="B507" s="306"/>
      <c r="C507" s="466">
        <f t="shared" si="53"/>
        <v>0</v>
      </c>
      <c r="D507" s="819"/>
      <c r="E507" s="820"/>
      <c r="F507" s="893">
        <f t="shared" si="48"/>
        <v>0</v>
      </c>
    </row>
    <row r="508" spans="1:6" ht="18" hidden="1" customHeight="1" x14ac:dyDescent="0.3">
      <c r="A508" s="1667"/>
      <c r="B508" s="306"/>
      <c r="C508" s="466">
        <f t="shared" si="53"/>
        <v>0</v>
      </c>
      <c r="D508" s="819"/>
      <c r="E508" s="820"/>
      <c r="F508" s="893">
        <f t="shared" si="48"/>
        <v>0</v>
      </c>
    </row>
    <row r="509" spans="1:6" ht="18" hidden="1" customHeight="1" x14ac:dyDescent="0.3">
      <c r="A509" s="1667"/>
      <c r="B509" s="306"/>
      <c r="C509" s="466">
        <f t="shared" si="53"/>
        <v>0</v>
      </c>
      <c r="D509" s="819"/>
      <c r="E509" s="820"/>
      <c r="F509" s="893">
        <f t="shared" si="48"/>
        <v>0</v>
      </c>
    </row>
    <row r="510" spans="1:6" ht="18" hidden="1" customHeight="1" x14ac:dyDescent="0.3">
      <c r="A510" s="1667"/>
      <c r="B510" s="306"/>
      <c r="C510" s="466">
        <f t="shared" si="53"/>
        <v>0</v>
      </c>
      <c r="D510" s="819"/>
      <c r="E510" s="820"/>
      <c r="F510" s="893">
        <f t="shared" si="48"/>
        <v>0</v>
      </c>
    </row>
    <row r="511" spans="1:6" ht="18" hidden="1" customHeight="1" x14ac:dyDescent="0.3">
      <c r="A511" s="1667"/>
      <c r="B511" s="306"/>
      <c r="C511" s="466">
        <f t="shared" si="53"/>
        <v>0</v>
      </c>
      <c r="D511" s="819"/>
      <c r="E511" s="820"/>
      <c r="F511" s="893">
        <f t="shared" si="48"/>
        <v>0</v>
      </c>
    </row>
    <row r="512" spans="1:6" ht="18" hidden="1" customHeight="1" x14ac:dyDescent="0.3">
      <c r="A512" s="1667"/>
      <c r="B512" s="306"/>
      <c r="C512" s="466">
        <f t="shared" si="53"/>
        <v>0</v>
      </c>
      <c r="D512" s="819"/>
      <c r="E512" s="820"/>
      <c r="F512" s="893">
        <f t="shared" si="48"/>
        <v>0</v>
      </c>
    </row>
    <row r="513" spans="1:6" ht="18" hidden="1" customHeight="1" x14ac:dyDescent="0.3">
      <c r="A513" s="1667"/>
      <c r="B513" s="306"/>
      <c r="C513" s="466">
        <f t="shared" si="53"/>
        <v>0</v>
      </c>
      <c r="D513" s="819"/>
      <c r="E513" s="820"/>
      <c r="F513" s="893">
        <f t="shared" si="48"/>
        <v>0</v>
      </c>
    </row>
    <row r="514" spans="1:6" ht="18" hidden="1" customHeight="1" x14ac:dyDescent="0.3">
      <c r="A514" s="1667"/>
      <c r="B514" s="306"/>
      <c r="C514" s="466">
        <f t="shared" si="53"/>
        <v>0</v>
      </c>
      <c r="D514" s="819"/>
      <c r="E514" s="820"/>
      <c r="F514" s="893">
        <f t="shared" si="48"/>
        <v>0</v>
      </c>
    </row>
    <row r="515" spans="1:6" ht="18" hidden="1" customHeight="1" x14ac:dyDescent="0.3">
      <c r="A515" s="1670"/>
      <c r="B515" s="849" t="s">
        <v>740</v>
      </c>
      <c r="C515" s="850">
        <f>SUM(C505:C514)</f>
        <v>0</v>
      </c>
      <c r="D515" s="850">
        <f>SUM(D505:D514)</f>
        <v>0</v>
      </c>
      <c r="E515" s="850">
        <f>SUM(E505:E514)</f>
        <v>0</v>
      </c>
      <c r="F515" s="893">
        <f t="shared" si="48"/>
        <v>0</v>
      </c>
    </row>
    <row r="516" spans="1:6" ht="18" hidden="1" customHeight="1" x14ac:dyDescent="0.3">
      <c r="A516" s="1669" t="s">
        <v>1114</v>
      </c>
      <c r="B516" s="306"/>
      <c r="C516" s="466">
        <f>SUM(D516:E516)</f>
        <v>0</v>
      </c>
      <c r="D516" s="819"/>
      <c r="E516" s="820"/>
      <c r="F516" s="893">
        <f t="shared" si="48"/>
        <v>0</v>
      </c>
    </row>
    <row r="517" spans="1:6" ht="18" hidden="1" customHeight="1" x14ac:dyDescent="0.3">
      <c r="A517" s="1667"/>
      <c r="B517" s="306"/>
      <c r="C517" s="466">
        <f t="shared" ref="C517:C525" si="54">SUM(D517:E517)</f>
        <v>0</v>
      </c>
      <c r="D517" s="819"/>
      <c r="E517" s="820"/>
      <c r="F517" s="893">
        <f t="shared" si="48"/>
        <v>0</v>
      </c>
    </row>
    <row r="518" spans="1:6" ht="18" hidden="1" customHeight="1" x14ac:dyDescent="0.3">
      <c r="A518" s="1667"/>
      <c r="B518" s="306"/>
      <c r="C518" s="466">
        <f t="shared" si="54"/>
        <v>0</v>
      </c>
      <c r="D518" s="819"/>
      <c r="E518" s="820"/>
      <c r="F518" s="893">
        <f t="shared" si="48"/>
        <v>0</v>
      </c>
    </row>
    <row r="519" spans="1:6" ht="18" hidden="1" customHeight="1" x14ac:dyDescent="0.3">
      <c r="A519" s="1667"/>
      <c r="B519" s="306"/>
      <c r="C519" s="466">
        <f t="shared" si="54"/>
        <v>0</v>
      </c>
      <c r="D519" s="819"/>
      <c r="E519" s="820"/>
      <c r="F519" s="893">
        <f t="shared" si="48"/>
        <v>0</v>
      </c>
    </row>
    <row r="520" spans="1:6" ht="18" hidden="1" customHeight="1" x14ac:dyDescent="0.3">
      <c r="A520" s="1667"/>
      <c r="B520" s="306"/>
      <c r="C520" s="466">
        <f t="shared" si="54"/>
        <v>0</v>
      </c>
      <c r="D520" s="819"/>
      <c r="E520" s="820"/>
      <c r="F520" s="893">
        <f t="shared" si="48"/>
        <v>0</v>
      </c>
    </row>
    <row r="521" spans="1:6" ht="18" hidden="1" customHeight="1" x14ac:dyDescent="0.3">
      <c r="A521" s="1667"/>
      <c r="B521" s="306"/>
      <c r="C521" s="466">
        <f t="shared" si="54"/>
        <v>0</v>
      </c>
      <c r="D521" s="819"/>
      <c r="E521" s="820"/>
      <c r="F521" s="893">
        <f t="shared" si="48"/>
        <v>0</v>
      </c>
    </row>
    <row r="522" spans="1:6" ht="18" hidden="1" customHeight="1" x14ac:dyDescent="0.3">
      <c r="A522" s="1667"/>
      <c r="B522" s="306"/>
      <c r="C522" s="466">
        <f t="shared" si="54"/>
        <v>0</v>
      </c>
      <c r="D522" s="819"/>
      <c r="E522" s="820"/>
      <c r="F522" s="893">
        <f t="shared" si="48"/>
        <v>0</v>
      </c>
    </row>
    <row r="523" spans="1:6" ht="18" hidden="1" customHeight="1" x14ac:dyDescent="0.3">
      <c r="A523" s="1667"/>
      <c r="B523" s="306"/>
      <c r="C523" s="466">
        <f t="shared" si="54"/>
        <v>0</v>
      </c>
      <c r="D523" s="819"/>
      <c r="E523" s="820"/>
      <c r="F523" s="893">
        <f t="shared" ref="F523:F586" si="55">SUM(C523:E523)</f>
        <v>0</v>
      </c>
    </row>
    <row r="524" spans="1:6" ht="18" hidden="1" customHeight="1" x14ac:dyDescent="0.3">
      <c r="A524" s="1667"/>
      <c r="B524" s="306"/>
      <c r="C524" s="466">
        <f t="shared" si="54"/>
        <v>0</v>
      </c>
      <c r="D524" s="819"/>
      <c r="E524" s="820"/>
      <c r="F524" s="893">
        <f t="shared" si="55"/>
        <v>0</v>
      </c>
    </row>
    <row r="525" spans="1:6" ht="18" hidden="1" customHeight="1" x14ac:dyDescent="0.3">
      <c r="A525" s="1667"/>
      <c r="B525" s="306"/>
      <c r="C525" s="466">
        <f t="shared" si="54"/>
        <v>0</v>
      </c>
      <c r="D525" s="819"/>
      <c r="E525" s="820"/>
      <c r="F525" s="893">
        <f t="shared" si="55"/>
        <v>0</v>
      </c>
    </row>
    <row r="526" spans="1:6" ht="18" hidden="1" customHeight="1" x14ac:dyDescent="0.3">
      <c r="A526" s="1670"/>
      <c r="B526" s="849" t="s">
        <v>740</v>
      </c>
      <c r="C526" s="850">
        <f>SUM(C516:C525)</f>
        <v>0</v>
      </c>
      <c r="D526" s="850">
        <f>SUM(D516:D525)</f>
        <v>0</v>
      </c>
      <c r="E526" s="850">
        <f>SUM(E516:E525)</f>
        <v>0</v>
      </c>
      <c r="F526" s="893">
        <f t="shared" si="55"/>
        <v>0</v>
      </c>
    </row>
    <row r="527" spans="1:6" ht="18" hidden="1" customHeight="1" x14ac:dyDescent="0.3">
      <c r="A527" s="1669" t="s">
        <v>1115</v>
      </c>
      <c r="B527" s="306"/>
      <c r="C527" s="466">
        <f>SUM(D527:E527)</f>
        <v>0</v>
      </c>
      <c r="D527" s="819"/>
      <c r="E527" s="820"/>
      <c r="F527" s="893">
        <f t="shared" si="55"/>
        <v>0</v>
      </c>
    </row>
    <row r="528" spans="1:6" ht="18" hidden="1" customHeight="1" x14ac:dyDescent="0.3">
      <c r="A528" s="1667"/>
      <c r="B528" s="306"/>
      <c r="C528" s="466">
        <f t="shared" ref="C528:C536" si="56">SUM(D528:E528)</f>
        <v>0</v>
      </c>
      <c r="D528" s="819"/>
      <c r="E528" s="820"/>
      <c r="F528" s="893">
        <f t="shared" si="55"/>
        <v>0</v>
      </c>
    </row>
    <row r="529" spans="1:6" ht="18" hidden="1" customHeight="1" x14ac:dyDescent="0.3">
      <c r="A529" s="1667"/>
      <c r="B529" s="306"/>
      <c r="C529" s="466">
        <f t="shared" si="56"/>
        <v>0</v>
      </c>
      <c r="D529" s="819"/>
      <c r="E529" s="820"/>
      <c r="F529" s="893">
        <f t="shared" si="55"/>
        <v>0</v>
      </c>
    </row>
    <row r="530" spans="1:6" ht="18" hidden="1" customHeight="1" x14ac:dyDescent="0.3">
      <c r="A530" s="1667"/>
      <c r="B530" s="306"/>
      <c r="C530" s="466">
        <f t="shared" si="56"/>
        <v>0</v>
      </c>
      <c r="D530" s="819"/>
      <c r="E530" s="820"/>
      <c r="F530" s="893">
        <f t="shared" si="55"/>
        <v>0</v>
      </c>
    </row>
    <row r="531" spans="1:6" ht="18" hidden="1" customHeight="1" x14ac:dyDescent="0.3">
      <c r="A531" s="1667"/>
      <c r="B531" s="306"/>
      <c r="C531" s="466">
        <f t="shared" si="56"/>
        <v>0</v>
      </c>
      <c r="D531" s="819"/>
      <c r="E531" s="820"/>
      <c r="F531" s="893">
        <f t="shared" si="55"/>
        <v>0</v>
      </c>
    </row>
    <row r="532" spans="1:6" ht="18" hidden="1" customHeight="1" x14ac:dyDescent="0.3">
      <c r="A532" s="1667"/>
      <c r="B532" s="306"/>
      <c r="C532" s="466">
        <f t="shared" si="56"/>
        <v>0</v>
      </c>
      <c r="D532" s="819"/>
      <c r="E532" s="820"/>
      <c r="F532" s="893">
        <f t="shared" si="55"/>
        <v>0</v>
      </c>
    </row>
    <row r="533" spans="1:6" ht="18" hidden="1" customHeight="1" x14ac:dyDescent="0.3">
      <c r="A533" s="1667"/>
      <c r="B533" s="306"/>
      <c r="C533" s="466">
        <f t="shared" si="56"/>
        <v>0</v>
      </c>
      <c r="D533" s="819"/>
      <c r="E533" s="820"/>
      <c r="F533" s="893">
        <f t="shared" si="55"/>
        <v>0</v>
      </c>
    </row>
    <row r="534" spans="1:6" ht="18" hidden="1" customHeight="1" x14ac:dyDescent="0.3">
      <c r="A534" s="1667"/>
      <c r="B534" s="306"/>
      <c r="C534" s="466">
        <f t="shared" si="56"/>
        <v>0</v>
      </c>
      <c r="D534" s="819"/>
      <c r="E534" s="820"/>
      <c r="F534" s="893">
        <f t="shared" si="55"/>
        <v>0</v>
      </c>
    </row>
    <row r="535" spans="1:6" ht="18" hidden="1" customHeight="1" x14ac:dyDescent="0.3">
      <c r="A535" s="1667"/>
      <c r="B535" s="306"/>
      <c r="C535" s="466">
        <f t="shared" si="56"/>
        <v>0</v>
      </c>
      <c r="D535" s="819"/>
      <c r="E535" s="820"/>
      <c r="F535" s="893">
        <f t="shared" si="55"/>
        <v>0</v>
      </c>
    </row>
    <row r="536" spans="1:6" ht="18" hidden="1" customHeight="1" x14ac:dyDescent="0.3">
      <c r="A536" s="1667"/>
      <c r="B536" s="306"/>
      <c r="C536" s="466">
        <f t="shared" si="56"/>
        <v>0</v>
      </c>
      <c r="D536" s="819"/>
      <c r="E536" s="820"/>
      <c r="F536" s="893">
        <f t="shared" si="55"/>
        <v>0</v>
      </c>
    </row>
    <row r="537" spans="1:6" ht="18" hidden="1" customHeight="1" x14ac:dyDescent="0.3">
      <c r="A537" s="1670"/>
      <c r="B537" s="849" t="s">
        <v>740</v>
      </c>
      <c r="C537" s="850">
        <f>SUM(C527:C536)</f>
        <v>0</v>
      </c>
      <c r="D537" s="850">
        <f>SUM(D527:D536)</f>
        <v>0</v>
      </c>
      <c r="E537" s="850">
        <f>SUM(E527:E536)</f>
        <v>0</v>
      </c>
      <c r="F537" s="893">
        <f t="shared" si="55"/>
        <v>0</v>
      </c>
    </row>
    <row r="538" spans="1:6" ht="18" hidden="1" customHeight="1" x14ac:dyDescent="0.3">
      <c r="A538" s="1669" t="s">
        <v>1116</v>
      </c>
      <c r="B538" s="306"/>
      <c r="C538" s="466">
        <f>SUM(D538:E538)</f>
        <v>0</v>
      </c>
      <c r="D538" s="819"/>
      <c r="E538" s="820"/>
      <c r="F538" s="893">
        <f t="shared" si="55"/>
        <v>0</v>
      </c>
    </row>
    <row r="539" spans="1:6" ht="18" hidden="1" customHeight="1" x14ac:dyDescent="0.3">
      <c r="A539" s="1667"/>
      <c r="B539" s="306"/>
      <c r="C539" s="466">
        <f t="shared" ref="C539:C547" si="57">SUM(D539:E539)</f>
        <v>0</v>
      </c>
      <c r="D539" s="819"/>
      <c r="E539" s="820"/>
      <c r="F539" s="893">
        <f t="shared" si="55"/>
        <v>0</v>
      </c>
    </row>
    <row r="540" spans="1:6" ht="18" hidden="1" customHeight="1" x14ac:dyDescent="0.3">
      <c r="A540" s="1667"/>
      <c r="B540" s="306"/>
      <c r="C540" s="466">
        <f t="shared" si="57"/>
        <v>0</v>
      </c>
      <c r="D540" s="819"/>
      <c r="E540" s="820"/>
      <c r="F540" s="893">
        <f t="shared" si="55"/>
        <v>0</v>
      </c>
    </row>
    <row r="541" spans="1:6" ht="18" hidden="1" customHeight="1" x14ac:dyDescent="0.3">
      <c r="A541" s="1667"/>
      <c r="B541" s="306"/>
      <c r="C541" s="466">
        <f t="shared" si="57"/>
        <v>0</v>
      </c>
      <c r="D541" s="819"/>
      <c r="E541" s="820"/>
      <c r="F541" s="893">
        <f t="shared" si="55"/>
        <v>0</v>
      </c>
    </row>
    <row r="542" spans="1:6" ht="18" hidden="1" customHeight="1" x14ac:dyDescent="0.3">
      <c r="A542" s="1667"/>
      <c r="B542" s="306"/>
      <c r="C542" s="466">
        <f t="shared" si="57"/>
        <v>0</v>
      </c>
      <c r="D542" s="819"/>
      <c r="E542" s="820"/>
      <c r="F542" s="893">
        <f t="shared" si="55"/>
        <v>0</v>
      </c>
    </row>
    <row r="543" spans="1:6" ht="18" hidden="1" customHeight="1" x14ac:dyDescent="0.3">
      <c r="A543" s="1667"/>
      <c r="B543" s="306"/>
      <c r="C543" s="466">
        <f t="shared" si="57"/>
        <v>0</v>
      </c>
      <c r="D543" s="819"/>
      <c r="E543" s="820"/>
      <c r="F543" s="893">
        <f t="shared" si="55"/>
        <v>0</v>
      </c>
    </row>
    <row r="544" spans="1:6" ht="18" hidden="1" customHeight="1" x14ac:dyDescent="0.3">
      <c r="A544" s="1667"/>
      <c r="B544" s="306"/>
      <c r="C544" s="466">
        <f t="shared" si="57"/>
        <v>0</v>
      </c>
      <c r="D544" s="819"/>
      <c r="E544" s="820"/>
      <c r="F544" s="893">
        <f t="shared" si="55"/>
        <v>0</v>
      </c>
    </row>
    <row r="545" spans="1:6" ht="18" hidden="1" customHeight="1" x14ac:dyDescent="0.3">
      <c r="A545" s="1667"/>
      <c r="B545" s="306"/>
      <c r="C545" s="466">
        <f t="shared" si="57"/>
        <v>0</v>
      </c>
      <c r="D545" s="819"/>
      <c r="E545" s="820"/>
      <c r="F545" s="893">
        <f t="shared" si="55"/>
        <v>0</v>
      </c>
    </row>
    <row r="546" spans="1:6" ht="18" hidden="1" customHeight="1" x14ac:dyDescent="0.3">
      <c r="A546" s="1667"/>
      <c r="B546" s="306"/>
      <c r="C546" s="466">
        <f t="shared" si="57"/>
        <v>0</v>
      </c>
      <c r="D546" s="819"/>
      <c r="E546" s="820"/>
      <c r="F546" s="893">
        <f t="shared" si="55"/>
        <v>0</v>
      </c>
    </row>
    <row r="547" spans="1:6" ht="18" hidden="1" customHeight="1" x14ac:dyDescent="0.3">
      <c r="A547" s="1667"/>
      <c r="B547" s="306"/>
      <c r="C547" s="466">
        <f t="shared" si="57"/>
        <v>0</v>
      </c>
      <c r="D547" s="819"/>
      <c r="E547" s="820"/>
      <c r="F547" s="893">
        <f t="shared" si="55"/>
        <v>0</v>
      </c>
    </row>
    <row r="548" spans="1:6" ht="18" hidden="1" customHeight="1" x14ac:dyDescent="0.3">
      <c r="A548" s="1670"/>
      <c r="B548" s="849" t="s">
        <v>740</v>
      </c>
      <c r="C548" s="850">
        <f>SUM(C538:C547)</f>
        <v>0</v>
      </c>
      <c r="D548" s="850">
        <f>SUM(D538:D547)</f>
        <v>0</v>
      </c>
      <c r="E548" s="850">
        <f>SUM(E538:E547)</f>
        <v>0</v>
      </c>
      <c r="F548" s="893">
        <f t="shared" si="55"/>
        <v>0</v>
      </c>
    </row>
    <row r="549" spans="1:6" ht="18" hidden="1" customHeight="1" x14ac:dyDescent="0.3">
      <c r="A549" s="1669" t="s">
        <v>1117</v>
      </c>
      <c r="B549" s="306"/>
      <c r="C549" s="466">
        <f>SUM(D549:E549)</f>
        <v>0</v>
      </c>
      <c r="D549" s="819"/>
      <c r="E549" s="820"/>
      <c r="F549" s="893">
        <f t="shared" si="55"/>
        <v>0</v>
      </c>
    </row>
    <row r="550" spans="1:6" ht="18" hidden="1" customHeight="1" x14ac:dyDescent="0.3">
      <c r="A550" s="1667"/>
      <c r="B550" s="306"/>
      <c r="C550" s="466">
        <f t="shared" ref="C550:C558" si="58">SUM(D550:E550)</f>
        <v>0</v>
      </c>
      <c r="D550" s="819"/>
      <c r="E550" s="820"/>
      <c r="F550" s="893">
        <f t="shared" si="55"/>
        <v>0</v>
      </c>
    </row>
    <row r="551" spans="1:6" ht="18" hidden="1" customHeight="1" x14ac:dyDescent="0.3">
      <c r="A551" s="1667"/>
      <c r="B551" s="306"/>
      <c r="C551" s="466">
        <f t="shared" si="58"/>
        <v>0</v>
      </c>
      <c r="D551" s="819"/>
      <c r="E551" s="820"/>
      <c r="F551" s="893">
        <f t="shared" si="55"/>
        <v>0</v>
      </c>
    </row>
    <row r="552" spans="1:6" ht="18" hidden="1" customHeight="1" x14ac:dyDescent="0.3">
      <c r="A552" s="1667"/>
      <c r="B552" s="306"/>
      <c r="C552" s="466">
        <f t="shared" si="58"/>
        <v>0</v>
      </c>
      <c r="D552" s="819"/>
      <c r="E552" s="820"/>
      <c r="F552" s="893">
        <f t="shared" si="55"/>
        <v>0</v>
      </c>
    </row>
    <row r="553" spans="1:6" ht="18" hidden="1" customHeight="1" x14ac:dyDescent="0.3">
      <c r="A553" s="1667"/>
      <c r="B553" s="306"/>
      <c r="C553" s="466">
        <f t="shared" si="58"/>
        <v>0</v>
      </c>
      <c r="D553" s="819"/>
      <c r="E553" s="820"/>
      <c r="F553" s="893">
        <f t="shared" si="55"/>
        <v>0</v>
      </c>
    </row>
    <row r="554" spans="1:6" ht="18" hidden="1" customHeight="1" x14ac:dyDescent="0.3">
      <c r="A554" s="1667"/>
      <c r="B554" s="306"/>
      <c r="C554" s="466">
        <f t="shared" si="58"/>
        <v>0</v>
      </c>
      <c r="D554" s="819"/>
      <c r="E554" s="820"/>
      <c r="F554" s="893">
        <f t="shared" si="55"/>
        <v>0</v>
      </c>
    </row>
    <row r="555" spans="1:6" ht="18" hidden="1" customHeight="1" x14ac:dyDescent="0.3">
      <c r="A555" s="1667"/>
      <c r="B555" s="306"/>
      <c r="C555" s="466">
        <f t="shared" si="58"/>
        <v>0</v>
      </c>
      <c r="D555" s="819"/>
      <c r="E555" s="820"/>
      <c r="F555" s="893">
        <f t="shared" si="55"/>
        <v>0</v>
      </c>
    </row>
    <row r="556" spans="1:6" ht="18" hidden="1" customHeight="1" x14ac:dyDescent="0.3">
      <c r="A556" s="1667"/>
      <c r="B556" s="306"/>
      <c r="C556" s="466">
        <f t="shared" si="58"/>
        <v>0</v>
      </c>
      <c r="D556" s="819"/>
      <c r="E556" s="820"/>
      <c r="F556" s="893">
        <f t="shared" si="55"/>
        <v>0</v>
      </c>
    </row>
    <row r="557" spans="1:6" ht="18" hidden="1" customHeight="1" x14ac:dyDescent="0.3">
      <c r="A557" s="1667"/>
      <c r="B557" s="306"/>
      <c r="C557" s="466">
        <f t="shared" si="58"/>
        <v>0</v>
      </c>
      <c r="D557" s="819"/>
      <c r="E557" s="820"/>
      <c r="F557" s="893">
        <f t="shared" si="55"/>
        <v>0</v>
      </c>
    </row>
    <row r="558" spans="1:6" ht="18" hidden="1" customHeight="1" x14ac:dyDescent="0.3">
      <c r="A558" s="1667"/>
      <c r="B558" s="306"/>
      <c r="C558" s="466">
        <f t="shared" si="58"/>
        <v>0</v>
      </c>
      <c r="D558" s="819"/>
      <c r="E558" s="820"/>
      <c r="F558" s="893">
        <f t="shared" si="55"/>
        <v>0</v>
      </c>
    </row>
    <row r="559" spans="1:6" ht="18" hidden="1" customHeight="1" x14ac:dyDescent="0.3">
      <c r="A559" s="1670"/>
      <c r="B559" s="849" t="s">
        <v>740</v>
      </c>
      <c r="C559" s="850">
        <f>SUM(C549:C558)</f>
        <v>0</v>
      </c>
      <c r="D559" s="850">
        <f>SUM(D549:D558)</f>
        <v>0</v>
      </c>
      <c r="E559" s="850">
        <f>SUM(E549:E558)</f>
        <v>0</v>
      </c>
      <c r="F559" s="893">
        <f t="shared" si="55"/>
        <v>0</v>
      </c>
    </row>
    <row r="560" spans="1:6" ht="18" hidden="1" customHeight="1" x14ac:dyDescent="0.3">
      <c r="A560" s="1669" t="s">
        <v>1119</v>
      </c>
      <c r="B560" s="306"/>
      <c r="C560" s="466">
        <f>SUM(D560:E560)</f>
        <v>0</v>
      </c>
      <c r="D560" s="819"/>
      <c r="E560" s="820"/>
      <c r="F560" s="893">
        <f t="shared" si="55"/>
        <v>0</v>
      </c>
    </row>
    <row r="561" spans="1:6" ht="18" hidden="1" customHeight="1" x14ac:dyDescent="0.3">
      <c r="A561" s="1667"/>
      <c r="B561" s="306"/>
      <c r="C561" s="466">
        <f t="shared" ref="C561:C569" si="59">SUM(D561:E561)</f>
        <v>0</v>
      </c>
      <c r="D561" s="819"/>
      <c r="E561" s="820"/>
      <c r="F561" s="893">
        <f t="shared" si="55"/>
        <v>0</v>
      </c>
    </row>
    <row r="562" spans="1:6" ht="18" hidden="1" customHeight="1" x14ac:dyDescent="0.3">
      <c r="A562" s="1667"/>
      <c r="B562" s="306"/>
      <c r="C562" s="466">
        <f t="shared" si="59"/>
        <v>0</v>
      </c>
      <c r="D562" s="819"/>
      <c r="E562" s="820"/>
      <c r="F562" s="893">
        <f t="shared" si="55"/>
        <v>0</v>
      </c>
    </row>
    <row r="563" spans="1:6" ht="18" hidden="1" customHeight="1" x14ac:dyDescent="0.3">
      <c r="A563" s="1667"/>
      <c r="B563" s="306"/>
      <c r="C563" s="466">
        <f t="shared" si="59"/>
        <v>0</v>
      </c>
      <c r="D563" s="819"/>
      <c r="E563" s="820"/>
      <c r="F563" s="893">
        <f t="shared" si="55"/>
        <v>0</v>
      </c>
    </row>
    <row r="564" spans="1:6" ht="18" hidden="1" customHeight="1" x14ac:dyDescent="0.3">
      <c r="A564" s="1667"/>
      <c r="B564" s="306"/>
      <c r="C564" s="466">
        <f t="shared" si="59"/>
        <v>0</v>
      </c>
      <c r="D564" s="819"/>
      <c r="E564" s="820"/>
      <c r="F564" s="893">
        <f t="shared" si="55"/>
        <v>0</v>
      </c>
    </row>
    <row r="565" spans="1:6" ht="18" hidden="1" customHeight="1" x14ac:dyDescent="0.3">
      <c r="A565" s="1667"/>
      <c r="B565" s="306"/>
      <c r="C565" s="466">
        <f t="shared" si="59"/>
        <v>0</v>
      </c>
      <c r="D565" s="819"/>
      <c r="E565" s="820"/>
      <c r="F565" s="893">
        <f t="shared" si="55"/>
        <v>0</v>
      </c>
    </row>
    <row r="566" spans="1:6" ht="18" hidden="1" customHeight="1" x14ac:dyDescent="0.3">
      <c r="A566" s="1667"/>
      <c r="B566" s="306"/>
      <c r="C566" s="466">
        <f t="shared" si="59"/>
        <v>0</v>
      </c>
      <c r="D566" s="819"/>
      <c r="E566" s="820"/>
      <c r="F566" s="893">
        <f t="shared" si="55"/>
        <v>0</v>
      </c>
    </row>
    <row r="567" spans="1:6" ht="18" hidden="1" customHeight="1" x14ac:dyDescent="0.3">
      <c r="A567" s="1667"/>
      <c r="B567" s="306"/>
      <c r="C567" s="466">
        <f t="shared" si="59"/>
        <v>0</v>
      </c>
      <c r="D567" s="819"/>
      <c r="E567" s="820"/>
      <c r="F567" s="893">
        <f t="shared" si="55"/>
        <v>0</v>
      </c>
    </row>
    <row r="568" spans="1:6" ht="18" hidden="1" customHeight="1" x14ac:dyDescent="0.3">
      <c r="A568" s="1667"/>
      <c r="B568" s="306"/>
      <c r="C568" s="466">
        <f t="shared" si="59"/>
        <v>0</v>
      </c>
      <c r="D568" s="819"/>
      <c r="E568" s="820"/>
      <c r="F568" s="893">
        <f t="shared" si="55"/>
        <v>0</v>
      </c>
    </row>
    <row r="569" spans="1:6" ht="18" hidden="1" customHeight="1" x14ac:dyDescent="0.3">
      <c r="A569" s="1667"/>
      <c r="B569" s="306"/>
      <c r="C569" s="466">
        <f t="shared" si="59"/>
        <v>0</v>
      </c>
      <c r="D569" s="819"/>
      <c r="E569" s="820"/>
      <c r="F569" s="893">
        <f t="shared" si="55"/>
        <v>0</v>
      </c>
    </row>
    <row r="570" spans="1:6" ht="18" hidden="1" customHeight="1" x14ac:dyDescent="0.3">
      <c r="A570" s="1670"/>
      <c r="B570" s="849" t="s">
        <v>740</v>
      </c>
      <c r="C570" s="850">
        <f>SUM(C560:C569)</f>
        <v>0</v>
      </c>
      <c r="D570" s="850">
        <f>SUM(D560:D569)</f>
        <v>0</v>
      </c>
      <c r="E570" s="850">
        <f>SUM(E560:E569)</f>
        <v>0</v>
      </c>
      <c r="F570" s="893">
        <f t="shared" si="55"/>
        <v>0</v>
      </c>
    </row>
    <row r="571" spans="1:6" ht="18" hidden="1" customHeight="1" x14ac:dyDescent="0.3">
      <c r="A571" s="1669" t="s">
        <v>1121</v>
      </c>
      <c r="B571" s="306"/>
      <c r="C571" s="466">
        <f>SUM(D571:E571)</f>
        <v>0</v>
      </c>
      <c r="D571" s="819"/>
      <c r="E571" s="820"/>
      <c r="F571" s="893">
        <f t="shared" si="55"/>
        <v>0</v>
      </c>
    </row>
    <row r="572" spans="1:6" ht="18" hidden="1" customHeight="1" x14ac:dyDescent="0.3">
      <c r="A572" s="1667"/>
      <c r="B572" s="306"/>
      <c r="C572" s="466">
        <f t="shared" ref="C572:C580" si="60">SUM(D572:E572)</f>
        <v>0</v>
      </c>
      <c r="D572" s="819"/>
      <c r="E572" s="820"/>
      <c r="F572" s="893">
        <f t="shared" si="55"/>
        <v>0</v>
      </c>
    </row>
    <row r="573" spans="1:6" ht="18" hidden="1" customHeight="1" x14ac:dyDescent="0.3">
      <c r="A573" s="1667"/>
      <c r="B573" s="306"/>
      <c r="C573" s="466">
        <f t="shared" si="60"/>
        <v>0</v>
      </c>
      <c r="D573" s="819"/>
      <c r="E573" s="820"/>
      <c r="F573" s="893">
        <f t="shared" si="55"/>
        <v>0</v>
      </c>
    </row>
    <row r="574" spans="1:6" ht="18" hidden="1" customHeight="1" x14ac:dyDescent="0.3">
      <c r="A574" s="1667"/>
      <c r="B574" s="306"/>
      <c r="C574" s="466">
        <f t="shared" si="60"/>
        <v>0</v>
      </c>
      <c r="D574" s="819"/>
      <c r="E574" s="820"/>
      <c r="F574" s="893">
        <f t="shared" si="55"/>
        <v>0</v>
      </c>
    </row>
    <row r="575" spans="1:6" ht="18" hidden="1" customHeight="1" x14ac:dyDescent="0.3">
      <c r="A575" s="1667"/>
      <c r="B575" s="306"/>
      <c r="C575" s="466">
        <f t="shared" si="60"/>
        <v>0</v>
      </c>
      <c r="D575" s="819"/>
      <c r="E575" s="820"/>
      <c r="F575" s="893">
        <f t="shared" si="55"/>
        <v>0</v>
      </c>
    </row>
    <row r="576" spans="1:6" ht="18" hidden="1" customHeight="1" x14ac:dyDescent="0.3">
      <c r="A576" s="1667"/>
      <c r="B576" s="306"/>
      <c r="C576" s="466">
        <f t="shared" si="60"/>
        <v>0</v>
      </c>
      <c r="D576" s="819"/>
      <c r="E576" s="820"/>
      <c r="F576" s="893">
        <f t="shared" si="55"/>
        <v>0</v>
      </c>
    </row>
    <row r="577" spans="1:6" ht="18" hidden="1" customHeight="1" x14ac:dyDescent="0.3">
      <c r="A577" s="1667"/>
      <c r="B577" s="306"/>
      <c r="C577" s="466">
        <f t="shared" si="60"/>
        <v>0</v>
      </c>
      <c r="D577" s="819"/>
      <c r="E577" s="820"/>
      <c r="F577" s="893">
        <f t="shared" si="55"/>
        <v>0</v>
      </c>
    </row>
    <row r="578" spans="1:6" ht="18" hidden="1" customHeight="1" x14ac:dyDescent="0.3">
      <c r="A578" s="1667"/>
      <c r="B578" s="306"/>
      <c r="C578" s="466">
        <f t="shared" si="60"/>
        <v>0</v>
      </c>
      <c r="D578" s="819"/>
      <c r="E578" s="820"/>
      <c r="F578" s="893">
        <f t="shared" si="55"/>
        <v>0</v>
      </c>
    </row>
    <row r="579" spans="1:6" ht="18" hidden="1" customHeight="1" x14ac:dyDescent="0.3">
      <c r="A579" s="1667"/>
      <c r="B579" s="306"/>
      <c r="C579" s="466">
        <f t="shared" si="60"/>
        <v>0</v>
      </c>
      <c r="D579" s="819"/>
      <c r="E579" s="820"/>
      <c r="F579" s="893">
        <f t="shared" si="55"/>
        <v>0</v>
      </c>
    </row>
    <row r="580" spans="1:6" ht="18" hidden="1" customHeight="1" x14ac:dyDescent="0.3">
      <c r="A580" s="1667"/>
      <c r="B580" s="306"/>
      <c r="C580" s="466">
        <f t="shared" si="60"/>
        <v>0</v>
      </c>
      <c r="D580" s="819"/>
      <c r="E580" s="820"/>
      <c r="F580" s="893">
        <f t="shared" si="55"/>
        <v>0</v>
      </c>
    </row>
    <row r="581" spans="1:6" ht="18" hidden="1" customHeight="1" x14ac:dyDescent="0.3">
      <c r="A581" s="1670"/>
      <c r="B581" s="849" t="s">
        <v>740</v>
      </c>
      <c r="C581" s="850">
        <f>SUM(C571:C580)</f>
        <v>0</v>
      </c>
      <c r="D581" s="850">
        <f>SUM(D571:D580)</f>
        <v>0</v>
      </c>
      <c r="E581" s="850">
        <f>SUM(E571:E580)</f>
        <v>0</v>
      </c>
      <c r="F581" s="893">
        <f t="shared" si="55"/>
        <v>0</v>
      </c>
    </row>
    <row r="582" spans="1:6" ht="18" hidden="1" customHeight="1" x14ac:dyDescent="0.3">
      <c r="A582" s="1669" t="s">
        <v>1123</v>
      </c>
      <c r="B582" s="306"/>
      <c r="C582" s="466">
        <f>SUM(D582:E582)</f>
        <v>0</v>
      </c>
      <c r="D582" s="819"/>
      <c r="E582" s="820"/>
      <c r="F582" s="893">
        <f t="shared" si="55"/>
        <v>0</v>
      </c>
    </row>
    <row r="583" spans="1:6" ht="18" hidden="1" customHeight="1" x14ac:dyDescent="0.3">
      <c r="A583" s="1667"/>
      <c r="B583" s="306"/>
      <c r="C583" s="466">
        <f t="shared" ref="C583:C591" si="61">SUM(D583:E583)</f>
        <v>0</v>
      </c>
      <c r="D583" s="819"/>
      <c r="E583" s="820"/>
      <c r="F583" s="893">
        <f t="shared" si="55"/>
        <v>0</v>
      </c>
    </row>
    <row r="584" spans="1:6" ht="18" hidden="1" customHeight="1" x14ac:dyDescent="0.3">
      <c r="A584" s="1667"/>
      <c r="B584" s="306"/>
      <c r="C584" s="466">
        <f t="shared" si="61"/>
        <v>0</v>
      </c>
      <c r="D584" s="819"/>
      <c r="E584" s="820"/>
      <c r="F584" s="893">
        <f t="shared" si="55"/>
        <v>0</v>
      </c>
    </row>
    <row r="585" spans="1:6" ht="18" hidden="1" customHeight="1" x14ac:dyDescent="0.3">
      <c r="A585" s="1667"/>
      <c r="B585" s="306"/>
      <c r="C585" s="466">
        <f t="shared" si="61"/>
        <v>0</v>
      </c>
      <c r="D585" s="819"/>
      <c r="E585" s="820"/>
      <c r="F585" s="893">
        <f t="shared" si="55"/>
        <v>0</v>
      </c>
    </row>
    <row r="586" spans="1:6" ht="18" hidden="1" customHeight="1" x14ac:dyDescent="0.3">
      <c r="A586" s="1667"/>
      <c r="B586" s="306"/>
      <c r="C586" s="466">
        <f t="shared" si="61"/>
        <v>0</v>
      </c>
      <c r="D586" s="819"/>
      <c r="E586" s="820"/>
      <c r="F586" s="893">
        <f t="shared" si="55"/>
        <v>0</v>
      </c>
    </row>
    <row r="587" spans="1:6" ht="18" hidden="1" customHeight="1" x14ac:dyDescent="0.3">
      <c r="A587" s="1667"/>
      <c r="B587" s="306"/>
      <c r="C587" s="466">
        <f t="shared" si="61"/>
        <v>0</v>
      </c>
      <c r="D587" s="819"/>
      <c r="E587" s="820"/>
      <c r="F587" s="893">
        <f t="shared" ref="F587:F650" si="62">SUM(C587:E587)</f>
        <v>0</v>
      </c>
    </row>
    <row r="588" spans="1:6" ht="18" hidden="1" customHeight="1" x14ac:dyDescent="0.3">
      <c r="A588" s="1667"/>
      <c r="B588" s="306"/>
      <c r="C588" s="466">
        <f t="shared" si="61"/>
        <v>0</v>
      </c>
      <c r="D588" s="819"/>
      <c r="E588" s="820"/>
      <c r="F588" s="893">
        <f t="shared" si="62"/>
        <v>0</v>
      </c>
    </row>
    <row r="589" spans="1:6" ht="18" hidden="1" customHeight="1" x14ac:dyDescent="0.3">
      <c r="A589" s="1667"/>
      <c r="B589" s="306"/>
      <c r="C589" s="466">
        <f t="shared" si="61"/>
        <v>0</v>
      </c>
      <c r="D589" s="819"/>
      <c r="E589" s="820"/>
      <c r="F589" s="893">
        <f t="shared" si="62"/>
        <v>0</v>
      </c>
    </row>
    <row r="590" spans="1:6" ht="18" hidden="1" customHeight="1" x14ac:dyDescent="0.3">
      <c r="A590" s="1667"/>
      <c r="B590" s="306"/>
      <c r="C590" s="466">
        <f t="shared" si="61"/>
        <v>0</v>
      </c>
      <c r="D590" s="819"/>
      <c r="E590" s="820"/>
      <c r="F590" s="893">
        <f t="shared" si="62"/>
        <v>0</v>
      </c>
    </row>
    <row r="591" spans="1:6" ht="18" hidden="1" customHeight="1" x14ac:dyDescent="0.3">
      <c r="A591" s="1667"/>
      <c r="B591" s="306"/>
      <c r="C591" s="466">
        <f t="shared" si="61"/>
        <v>0</v>
      </c>
      <c r="D591" s="819"/>
      <c r="E591" s="820"/>
      <c r="F591" s="893">
        <f t="shared" si="62"/>
        <v>0</v>
      </c>
    </row>
    <row r="592" spans="1:6" ht="18" hidden="1" customHeight="1" x14ac:dyDescent="0.3">
      <c r="A592" s="1670"/>
      <c r="B592" s="849" t="s">
        <v>740</v>
      </c>
      <c r="C592" s="850">
        <f>SUM(C582:C591)</f>
        <v>0</v>
      </c>
      <c r="D592" s="850">
        <f>SUM(D582:D591)</f>
        <v>0</v>
      </c>
      <c r="E592" s="850">
        <f>SUM(E582:E591)</f>
        <v>0</v>
      </c>
      <c r="F592" s="893">
        <f t="shared" si="62"/>
        <v>0</v>
      </c>
    </row>
    <row r="593" spans="1:6" ht="18" hidden="1" customHeight="1" x14ac:dyDescent="0.3">
      <c r="A593" s="1669" t="s">
        <v>1125</v>
      </c>
      <c r="B593" s="306"/>
      <c r="C593" s="466">
        <f>SUM(D593:E593)</f>
        <v>0</v>
      </c>
      <c r="D593" s="819"/>
      <c r="E593" s="820"/>
      <c r="F593" s="893">
        <f t="shared" si="62"/>
        <v>0</v>
      </c>
    </row>
    <row r="594" spans="1:6" ht="18" hidden="1" customHeight="1" x14ac:dyDescent="0.3">
      <c r="A594" s="1667"/>
      <c r="B594" s="306"/>
      <c r="C594" s="466">
        <f t="shared" ref="C594:C602" si="63">SUM(D594:E594)</f>
        <v>0</v>
      </c>
      <c r="D594" s="819"/>
      <c r="E594" s="820"/>
      <c r="F594" s="893">
        <f t="shared" si="62"/>
        <v>0</v>
      </c>
    </row>
    <row r="595" spans="1:6" ht="18" hidden="1" customHeight="1" x14ac:dyDescent="0.3">
      <c r="A595" s="1667"/>
      <c r="B595" s="306"/>
      <c r="C595" s="466">
        <f t="shared" si="63"/>
        <v>0</v>
      </c>
      <c r="D595" s="819"/>
      <c r="E595" s="820"/>
      <c r="F595" s="893">
        <f t="shared" si="62"/>
        <v>0</v>
      </c>
    </row>
    <row r="596" spans="1:6" ht="18" hidden="1" customHeight="1" x14ac:dyDescent="0.3">
      <c r="A596" s="1667"/>
      <c r="B596" s="306"/>
      <c r="C596" s="466">
        <f t="shared" si="63"/>
        <v>0</v>
      </c>
      <c r="D596" s="819"/>
      <c r="E596" s="820"/>
      <c r="F596" s="893">
        <f t="shared" si="62"/>
        <v>0</v>
      </c>
    </row>
    <row r="597" spans="1:6" ht="18" hidden="1" customHeight="1" x14ac:dyDescent="0.3">
      <c r="A597" s="1667"/>
      <c r="B597" s="306"/>
      <c r="C597" s="466">
        <f t="shared" si="63"/>
        <v>0</v>
      </c>
      <c r="D597" s="819"/>
      <c r="E597" s="820"/>
      <c r="F597" s="893">
        <f t="shared" si="62"/>
        <v>0</v>
      </c>
    </row>
    <row r="598" spans="1:6" ht="18" hidden="1" customHeight="1" x14ac:dyDescent="0.3">
      <c r="A598" s="1667"/>
      <c r="B598" s="306"/>
      <c r="C598" s="466">
        <f t="shared" si="63"/>
        <v>0</v>
      </c>
      <c r="D598" s="819"/>
      <c r="E598" s="820"/>
      <c r="F598" s="893">
        <f t="shared" si="62"/>
        <v>0</v>
      </c>
    </row>
    <row r="599" spans="1:6" ht="18" hidden="1" customHeight="1" x14ac:dyDescent="0.3">
      <c r="A599" s="1667"/>
      <c r="B599" s="306"/>
      <c r="C599" s="466">
        <f t="shared" si="63"/>
        <v>0</v>
      </c>
      <c r="D599" s="819"/>
      <c r="E599" s="820"/>
      <c r="F599" s="893">
        <f t="shared" si="62"/>
        <v>0</v>
      </c>
    </row>
    <row r="600" spans="1:6" ht="18" hidden="1" customHeight="1" x14ac:dyDescent="0.3">
      <c r="A600" s="1667"/>
      <c r="B600" s="306"/>
      <c r="C600" s="466">
        <f t="shared" si="63"/>
        <v>0</v>
      </c>
      <c r="D600" s="819"/>
      <c r="E600" s="820"/>
      <c r="F600" s="893">
        <f t="shared" si="62"/>
        <v>0</v>
      </c>
    </row>
    <row r="601" spans="1:6" ht="18" hidden="1" customHeight="1" x14ac:dyDescent="0.3">
      <c r="A601" s="1667"/>
      <c r="B601" s="306"/>
      <c r="C601" s="466">
        <f t="shared" si="63"/>
        <v>0</v>
      </c>
      <c r="D601" s="819"/>
      <c r="E601" s="820"/>
      <c r="F601" s="893">
        <f t="shared" si="62"/>
        <v>0</v>
      </c>
    </row>
    <row r="602" spans="1:6" ht="18" hidden="1" customHeight="1" x14ac:dyDescent="0.3">
      <c r="A602" s="1667"/>
      <c r="B602" s="306"/>
      <c r="C602" s="466">
        <f t="shared" si="63"/>
        <v>0</v>
      </c>
      <c r="D602" s="819"/>
      <c r="E602" s="820"/>
      <c r="F602" s="893">
        <f t="shared" si="62"/>
        <v>0</v>
      </c>
    </row>
    <row r="603" spans="1:6" ht="18" hidden="1" customHeight="1" x14ac:dyDescent="0.3">
      <c r="A603" s="1670"/>
      <c r="B603" s="849" t="s">
        <v>740</v>
      </c>
      <c r="C603" s="850">
        <f>SUM(C593:C602)</f>
        <v>0</v>
      </c>
      <c r="D603" s="850">
        <f>SUM(D593:D602)</f>
        <v>0</v>
      </c>
      <c r="E603" s="850">
        <f>SUM(E593:E602)</f>
        <v>0</v>
      </c>
      <c r="F603" s="893">
        <f t="shared" si="62"/>
        <v>0</v>
      </c>
    </row>
    <row r="604" spans="1:6" ht="18" hidden="1" customHeight="1" x14ac:dyDescent="0.3">
      <c r="A604" s="1669" t="s">
        <v>1127</v>
      </c>
      <c r="B604" s="306"/>
      <c r="C604" s="466">
        <f>SUM(D604:E604)</f>
        <v>0</v>
      </c>
      <c r="D604" s="819"/>
      <c r="E604" s="820"/>
      <c r="F604" s="893">
        <f t="shared" si="62"/>
        <v>0</v>
      </c>
    </row>
    <row r="605" spans="1:6" ht="18" hidden="1" customHeight="1" x14ac:dyDescent="0.3">
      <c r="A605" s="1667"/>
      <c r="B605" s="306"/>
      <c r="C605" s="466">
        <f t="shared" ref="C605:C613" si="64">SUM(D605:E605)</f>
        <v>0</v>
      </c>
      <c r="D605" s="819"/>
      <c r="E605" s="820"/>
      <c r="F605" s="893">
        <f t="shared" si="62"/>
        <v>0</v>
      </c>
    </row>
    <row r="606" spans="1:6" ht="18" hidden="1" customHeight="1" x14ac:dyDescent="0.3">
      <c r="A606" s="1667"/>
      <c r="B606" s="306"/>
      <c r="C606" s="466">
        <f t="shared" si="64"/>
        <v>0</v>
      </c>
      <c r="D606" s="819"/>
      <c r="E606" s="820"/>
      <c r="F606" s="893">
        <f t="shared" si="62"/>
        <v>0</v>
      </c>
    </row>
    <row r="607" spans="1:6" ht="18" hidden="1" customHeight="1" x14ac:dyDescent="0.3">
      <c r="A607" s="1667"/>
      <c r="B607" s="306"/>
      <c r="C607" s="466">
        <f t="shared" si="64"/>
        <v>0</v>
      </c>
      <c r="D607" s="819"/>
      <c r="E607" s="820"/>
      <c r="F607" s="893">
        <f t="shared" si="62"/>
        <v>0</v>
      </c>
    </row>
    <row r="608" spans="1:6" ht="18" hidden="1" customHeight="1" x14ac:dyDescent="0.3">
      <c r="A608" s="1667"/>
      <c r="B608" s="306"/>
      <c r="C608" s="466">
        <f t="shared" si="64"/>
        <v>0</v>
      </c>
      <c r="D608" s="819"/>
      <c r="E608" s="820"/>
      <c r="F608" s="893">
        <f t="shared" si="62"/>
        <v>0</v>
      </c>
    </row>
    <row r="609" spans="1:6" ht="18" hidden="1" customHeight="1" x14ac:dyDescent="0.3">
      <c r="A609" s="1667"/>
      <c r="B609" s="306"/>
      <c r="C609" s="466">
        <f t="shared" si="64"/>
        <v>0</v>
      </c>
      <c r="D609" s="819"/>
      <c r="E609" s="820"/>
      <c r="F609" s="893">
        <f t="shared" si="62"/>
        <v>0</v>
      </c>
    </row>
    <row r="610" spans="1:6" ht="18" hidden="1" customHeight="1" x14ac:dyDescent="0.3">
      <c r="A610" s="1667"/>
      <c r="B610" s="306"/>
      <c r="C610" s="466">
        <f t="shared" si="64"/>
        <v>0</v>
      </c>
      <c r="D610" s="819"/>
      <c r="E610" s="820"/>
      <c r="F610" s="893">
        <f t="shared" si="62"/>
        <v>0</v>
      </c>
    </row>
    <row r="611" spans="1:6" ht="18" hidden="1" customHeight="1" x14ac:dyDescent="0.3">
      <c r="A611" s="1667"/>
      <c r="B611" s="306"/>
      <c r="C611" s="466">
        <f t="shared" si="64"/>
        <v>0</v>
      </c>
      <c r="D611" s="819"/>
      <c r="E611" s="820"/>
      <c r="F611" s="893">
        <f t="shared" si="62"/>
        <v>0</v>
      </c>
    </row>
    <row r="612" spans="1:6" ht="18" hidden="1" customHeight="1" x14ac:dyDescent="0.3">
      <c r="A612" s="1667"/>
      <c r="B612" s="306"/>
      <c r="C612" s="466">
        <f t="shared" si="64"/>
        <v>0</v>
      </c>
      <c r="D612" s="819"/>
      <c r="E612" s="820"/>
      <c r="F612" s="893">
        <f t="shared" si="62"/>
        <v>0</v>
      </c>
    </row>
    <row r="613" spans="1:6" ht="18" hidden="1" customHeight="1" x14ac:dyDescent="0.3">
      <c r="A613" s="1667"/>
      <c r="B613" s="306"/>
      <c r="C613" s="466">
        <f t="shared" si="64"/>
        <v>0</v>
      </c>
      <c r="D613" s="819"/>
      <c r="E613" s="820"/>
      <c r="F613" s="893">
        <f t="shared" si="62"/>
        <v>0</v>
      </c>
    </row>
    <row r="614" spans="1:6" ht="18" hidden="1" customHeight="1" x14ac:dyDescent="0.3">
      <c r="A614" s="1670"/>
      <c r="B614" s="849" t="s">
        <v>740</v>
      </c>
      <c r="C614" s="850">
        <f>SUM(C604:C613)</f>
        <v>0</v>
      </c>
      <c r="D614" s="850">
        <f>SUM(D604:D613)</f>
        <v>0</v>
      </c>
      <c r="E614" s="850">
        <f>SUM(E604:E613)</f>
        <v>0</v>
      </c>
      <c r="F614" s="893">
        <f t="shared" si="62"/>
        <v>0</v>
      </c>
    </row>
    <row r="615" spans="1:6" ht="18" hidden="1" customHeight="1" x14ac:dyDescent="0.3">
      <c r="A615" s="1669" t="s">
        <v>1129</v>
      </c>
      <c r="B615" s="306"/>
      <c r="C615" s="466">
        <f>SUM(D615:E615)</f>
        <v>0</v>
      </c>
      <c r="D615" s="819"/>
      <c r="E615" s="820"/>
      <c r="F615" s="893">
        <f t="shared" si="62"/>
        <v>0</v>
      </c>
    </row>
    <row r="616" spans="1:6" ht="18" hidden="1" customHeight="1" x14ac:dyDescent="0.3">
      <c r="A616" s="1667"/>
      <c r="B616" s="306"/>
      <c r="C616" s="466">
        <f t="shared" ref="C616:C624" si="65">SUM(D616:E616)</f>
        <v>0</v>
      </c>
      <c r="D616" s="819"/>
      <c r="E616" s="820"/>
      <c r="F616" s="893">
        <f t="shared" si="62"/>
        <v>0</v>
      </c>
    </row>
    <row r="617" spans="1:6" ht="18" hidden="1" customHeight="1" x14ac:dyDescent="0.3">
      <c r="A617" s="1667"/>
      <c r="B617" s="306"/>
      <c r="C617" s="466">
        <f t="shared" si="65"/>
        <v>0</v>
      </c>
      <c r="D617" s="819"/>
      <c r="E617" s="820"/>
      <c r="F617" s="893">
        <f t="shared" si="62"/>
        <v>0</v>
      </c>
    </row>
    <row r="618" spans="1:6" ht="18" hidden="1" customHeight="1" x14ac:dyDescent="0.3">
      <c r="A618" s="1667"/>
      <c r="B618" s="306"/>
      <c r="C618" s="466">
        <f t="shared" si="65"/>
        <v>0</v>
      </c>
      <c r="D618" s="819"/>
      <c r="E618" s="820"/>
      <c r="F618" s="893">
        <f t="shared" si="62"/>
        <v>0</v>
      </c>
    </row>
    <row r="619" spans="1:6" ht="18" hidden="1" customHeight="1" x14ac:dyDescent="0.3">
      <c r="A619" s="1667"/>
      <c r="B619" s="306"/>
      <c r="C619" s="466">
        <f t="shared" si="65"/>
        <v>0</v>
      </c>
      <c r="D619" s="819"/>
      <c r="E619" s="820"/>
      <c r="F619" s="893">
        <f t="shared" si="62"/>
        <v>0</v>
      </c>
    </row>
    <row r="620" spans="1:6" ht="18" hidden="1" customHeight="1" x14ac:dyDescent="0.3">
      <c r="A620" s="1667"/>
      <c r="B620" s="306"/>
      <c r="C620" s="466">
        <f t="shared" si="65"/>
        <v>0</v>
      </c>
      <c r="D620" s="819"/>
      <c r="E620" s="820"/>
      <c r="F620" s="893">
        <f t="shared" si="62"/>
        <v>0</v>
      </c>
    </row>
    <row r="621" spans="1:6" ht="18" hidden="1" customHeight="1" x14ac:dyDescent="0.3">
      <c r="A621" s="1667"/>
      <c r="B621" s="306"/>
      <c r="C621" s="466">
        <f t="shared" si="65"/>
        <v>0</v>
      </c>
      <c r="D621" s="819"/>
      <c r="E621" s="820"/>
      <c r="F621" s="893">
        <f t="shared" si="62"/>
        <v>0</v>
      </c>
    </row>
    <row r="622" spans="1:6" ht="18" hidden="1" customHeight="1" x14ac:dyDescent="0.3">
      <c r="A622" s="1667"/>
      <c r="B622" s="306"/>
      <c r="C622" s="466">
        <f t="shared" si="65"/>
        <v>0</v>
      </c>
      <c r="D622" s="819"/>
      <c r="E622" s="820"/>
      <c r="F622" s="893">
        <f t="shared" si="62"/>
        <v>0</v>
      </c>
    </row>
    <row r="623" spans="1:6" ht="18" hidden="1" customHeight="1" x14ac:dyDescent="0.3">
      <c r="A623" s="1667"/>
      <c r="B623" s="306"/>
      <c r="C623" s="466">
        <f t="shared" si="65"/>
        <v>0</v>
      </c>
      <c r="D623" s="819"/>
      <c r="E623" s="820"/>
      <c r="F623" s="893">
        <f t="shared" si="62"/>
        <v>0</v>
      </c>
    </row>
    <row r="624" spans="1:6" ht="18" hidden="1" customHeight="1" x14ac:dyDescent="0.3">
      <c r="A624" s="1667"/>
      <c r="B624" s="306"/>
      <c r="C624" s="466">
        <f t="shared" si="65"/>
        <v>0</v>
      </c>
      <c r="D624" s="819"/>
      <c r="E624" s="820"/>
      <c r="F624" s="893">
        <f t="shared" si="62"/>
        <v>0</v>
      </c>
    </row>
    <row r="625" spans="1:6" ht="18" hidden="1" customHeight="1" x14ac:dyDescent="0.3">
      <c r="A625" s="1670"/>
      <c r="B625" s="849" t="s">
        <v>740</v>
      </c>
      <c r="C625" s="850">
        <f>SUM(C615:C624)</f>
        <v>0</v>
      </c>
      <c r="D625" s="850">
        <f>SUM(D615:D624)</f>
        <v>0</v>
      </c>
      <c r="E625" s="850">
        <f>SUM(E615:E624)</f>
        <v>0</v>
      </c>
      <c r="F625" s="893">
        <f t="shared" si="62"/>
        <v>0</v>
      </c>
    </row>
    <row r="626" spans="1:6" ht="18" hidden="1" customHeight="1" x14ac:dyDescent="0.3">
      <c r="A626" s="1669" t="s">
        <v>1131</v>
      </c>
      <c r="B626" s="306"/>
      <c r="C626" s="466">
        <f>SUM(D626:E626)</f>
        <v>0</v>
      </c>
      <c r="D626" s="819"/>
      <c r="E626" s="820"/>
      <c r="F626" s="893">
        <f t="shared" si="62"/>
        <v>0</v>
      </c>
    </row>
    <row r="627" spans="1:6" ht="18" hidden="1" customHeight="1" x14ac:dyDescent="0.3">
      <c r="A627" s="1667"/>
      <c r="B627" s="306"/>
      <c r="C627" s="466">
        <f t="shared" ref="C627:C635" si="66">SUM(D627:E627)</f>
        <v>0</v>
      </c>
      <c r="D627" s="819"/>
      <c r="E627" s="820"/>
      <c r="F627" s="893">
        <f t="shared" si="62"/>
        <v>0</v>
      </c>
    </row>
    <row r="628" spans="1:6" ht="18" hidden="1" customHeight="1" x14ac:dyDescent="0.3">
      <c r="A628" s="1667"/>
      <c r="B628" s="306"/>
      <c r="C628" s="466">
        <f t="shared" si="66"/>
        <v>0</v>
      </c>
      <c r="D628" s="819"/>
      <c r="E628" s="820"/>
      <c r="F628" s="893">
        <f t="shared" si="62"/>
        <v>0</v>
      </c>
    </row>
    <row r="629" spans="1:6" ht="18" hidden="1" customHeight="1" x14ac:dyDescent="0.3">
      <c r="A629" s="1667"/>
      <c r="B629" s="306"/>
      <c r="C629" s="466">
        <f t="shared" si="66"/>
        <v>0</v>
      </c>
      <c r="D629" s="819"/>
      <c r="E629" s="820"/>
      <c r="F629" s="893">
        <f t="shared" si="62"/>
        <v>0</v>
      </c>
    </row>
    <row r="630" spans="1:6" ht="18" hidden="1" customHeight="1" x14ac:dyDescent="0.3">
      <c r="A630" s="1667"/>
      <c r="B630" s="306"/>
      <c r="C630" s="466">
        <f t="shared" si="66"/>
        <v>0</v>
      </c>
      <c r="D630" s="819"/>
      <c r="E630" s="820"/>
      <c r="F630" s="893">
        <f t="shared" si="62"/>
        <v>0</v>
      </c>
    </row>
    <row r="631" spans="1:6" ht="18" hidden="1" customHeight="1" x14ac:dyDescent="0.3">
      <c r="A631" s="1667"/>
      <c r="B631" s="306"/>
      <c r="C631" s="466">
        <f t="shared" si="66"/>
        <v>0</v>
      </c>
      <c r="D631" s="819"/>
      <c r="E631" s="820"/>
      <c r="F631" s="893">
        <f t="shared" si="62"/>
        <v>0</v>
      </c>
    </row>
    <row r="632" spans="1:6" ht="18" hidden="1" customHeight="1" x14ac:dyDescent="0.3">
      <c r="A632" s="1667"/>
      <c r="B632" s="306"/>
      <c r="C632" s="466">
        <f t="shared" si="66"/>
        <v>0</v>
      </c>
      <c r="D632" s="819"/>
      <c r="E632" s="820"/>
      <c r="F632" s="893">
        <f t="shared" si="62"/>
        <v>0</v>
      </c>
    </row>
    <row r="633" spans="1:6" ht="18" hidden="1" customHeight="1" x14ac:dyDescent="0.3">
      <c r="A633" s="1667"/>
      <c r="B633" s="306"/>
      <c r="C633" s="466">
        <f t="shared" si="66"/>
        <v>0</v>
      </c>
      <c r="D633" s="819"/>
      <c r="E633" s="820"/>
      <c r="F633" s="893">
        <f t="shared" si="62"/>
        <v>0</v>
      </c>
    </row>
    <row r="634" spans="1:6" ht="18" hidden="1" customHeight="1" x14ac:dyDescent="0.3">
      <c r="A634" s="1667"/>
      <c r="B634" s="306"/>
      <c r="C634" s="466">
        <f t="shared" si="66"/>
        <v>0</v>
      </c>
      <c r="D634" s="819"/>
      <c r="E634" s="820"/>
      <c r="F634" s="893">
        <f t="shared" si="62"/>
        <v>0</v>
      </c>
    </row>
    <row r="635" spans="1:6" ht="18" hidden="1" customHeight="1" x14ac:dyDescent="0.3">
      <c r="A635" s="1667"/>
      <c r="B635" s="306"/>
      <c r="C635" s="466">
        <f t="shared" si="66"/>
        <v>0</v>
      </c>
      <c r="D635" s="819"/>
      <c r="E635" s="820"/>
      <c r="F635" s="893">
        <f t="shared" si="62"/>
        <v>0</v>
      </c>
    </row>
    <row r="636" spans="1:6" ht="18" hidden="1" customHeight="1" x14ac:dyDescent="0.3">
      <c r="A636" s="1670"/>
      <c r="B636" s="849" t="s">
        <v>740</v>
      </c>
      <c r="C636" s="850">
        <f>SUM(C626:C635)</f>
        <v>0</v>
      </c>
      <c r="D636" s="850">
        <f>SUM(D626:D635)</f>
        <v>0</v>
      </c>
      <c r="E636" s="850">
        <f>SUM(E626:E635)</f>
        <v>0</v>
      </c>
      <c r="F636" s="893">
        <f t="shared" si="62"/>
        <v>0</v>
      </c>
    </row>
    <row r="637" spans="1:6" ht="18" hidden="1" customHeight="1" x14ac:dyDescent="0.3">
      <c r="A637" s="1669" t="s">
        <v>1133</v>
      </c>
      <c r="B637" s="306"/>
      <c r="C637" s="466">
        <f>SUM(D637:E637)</f>
        <v>0</v>
      </c>
      <c r="D637" s="819"/>
      <c r="E637" s="820"/>
      <c r="F637" s="893">
        <f t="shared" si="62"/>
        <v>0</v>
      </c>
    </row>
    <row r="638" spans="1:6" ht="18" hidden="1" customHeight="1" x14ac:dyDescent="0.3">
      <c r="A638" s="1667"/>
      <c r="B638" s="306"/>
      <c r="C638" s="466">
        <f t="shared" ref="C638:C646" si="67">SUM(D638:E638)</f>
        <v>0</v>
      </c>
      <c r="D638" s="819"/>
      <c r="E638" s="820"/>
      <c r="F638" s="893">
        <f t="shared" si="62"/>
        <v>0</v>
      </c>
    </row>
    <row r="639" spans="1:6" ht="18" hidden="1" customHeight="1" x14ac:dyDescent="0.3">
      <c r="A639" s="1667"/>
      <c r="B639" s="306"/>
      <c r="C639" s="466">
        <f t="shared" si="67"/>
        <v>0</v>
      </c>
      <c r="D639" s="819"/>
      <c r="E639" s="820"/>
      <c r="F639" s="893">
        <f t="shared" si="62"/>
        <v>0</v>
      </c>
    </row>
    <row r="640" spans="1:6" ht="18" hidden="1" customHeight="1" x14ac:dyDescent="0.3">
      <c r="A640" s="1667"/>
      <c r="B640" s="306"/>
      <c r="C640" s="466">
        <f t="shared" si="67"/>
        <v>0</v>
      </c>
      <c r="D640" s="819"/>
      <c r="E640" s="820"/>
      <c r="F640" s="893">
        <f t="shared" si="62"/>
        <v>0</v>
      </c>
    </row>
    <row r="641" spans="1:6" ht="18" hidden="1" customHeight="1" x14ac:dyDescent="0.3">
      <c r="A641" s="1667"/>
      <c r="B641" s="306"/>
      <c r="C641" s="466">
        <f t="shared" si="67"/>
        <v>0</v>
      </c>
      <c r="D641" s="819"/>
      <c r="E641" s="820"/>
      <c r="F641" s="893">
        <f t="shared" si="62"/>
        <v>0</v>
      </c>
    </row>
    <row r="642" spans="1:6" ht="18" hidden="1" customHeight="1" x14ac:dyDescent="0.3">
      <c r="A642" s="1667"/>
      <c r="B642" s="306"/>
      <c r="C642" s="466">
        <f t="shared" si="67"/>
        <v>0</v>
      </c>
      <c r="D642" s="819"/>
      <c r="E642" s="820"/>
      <c r="F642" s="893">
        <f t="shared" si="62"/>
        <v>0</v>
      </c>
    </row>
    <row r="643" spans="1:6" ht="18" hidden="1" customHeight="1" x14ac:dyDescent="0.3">
      <c r="A643" s="1667"/>
      <c r="B643" s="306"/>
      <c r="C643" s="466">
        <f t="shared" si="67"/>
        <v>0</v>
      </c>
      <c r="D643" s="819"/>
      <c r="E643" s="820"/>
      <c r="F643" s="893">
        <f t="shared" si="62"/>
        <v>0</v>
      </c>
    </row>
    <row r="644" spans="1:6" ht="18" hidden="1" customHeight="1" x14ac:dyDescent="0.3">
      <c r="A644" s="1667"/>
      <c r="B644" s="306"/>
      <c r="C644" s="466">
        <f t="shared" si="67"/>
        <v>0</v>
      </c>
      <c r="D644" s="819"/>
      <c r="E644" s="820"/>
      <c r="F644" s="893">
        <f t="shared" si="62"/>
        <v>0</v>
      </c>
    </row>
    <row r="645" spans="1:6" ht="18" hidden="1" customHeight="1" x14ac:dyDescent="0.3">
      <c r="A645" s="1667"/>
      <c r="B645" s="306"/>
      <c r="C645" s="466">
        <f t="shared" si="67"/>
        <v>0</v>
      </c>
      <c r="D645" s="819"/>
      <c r="E645" s="820"/>
      <c r="F645" s="893">
        <f t="shared" si="62"/>
        <v>0</v>
      </c>
    </row>
    <row r="646" spans="1:6" ht="18" hidden="1" customHeight="1" x14ac:dyDescent="0.3">
      <c r="A646" s="1667"/>
      <c r="B646" s="306"/>
      <c r="C646" s="466">
        <f t="shared" si="67"/>
        <v>0</v>
      </c>
      <c r="D646" s="819"/>
      <c r="E646" s="820"/>
      <c r="F646" s="893">
        <f t="shared" si="62"/>
        <v>0</v>
      </c>
    </row>
    <row r="647" spans="1:6" ht="18" hidden="1" customHeight="1" x14ac:dyDescent="0.3">
      <c r="A647" s="1670"/>
      <c r="B647" s="849" t="s">
        <v>740</v>
      </c>
      <c r="C647" s="850">
        <f>SUM(C637:C646)</f>
        <v>0</v>
      </c>
      <c r="D647" s="850">
        <f>SUM(D637:D646)</f>
        <v>0</v>
      </c>
      <c r="E647" s="850">
        <f>SUM(E637:E646)</f>
        <v>0</v>
      </c>
      <c r="F647" s="893">
        <f t="shared" si="62"/>
        <v>0</v>
      </c>
    </row>
    <row r="648" spans="1:6" ht="18" hidden="1" customHeight="1" x14ac:dyDescent="0.3">
      <c r="A648" s="1669" t="s">
        <v>1135</v>
      </c>
      <c r="B648" s="306"/>
      <c r="C648" s="466">
        <f>SUM(D648:E648)</f>
        <v>0</v>
      </c>
      <c r="D648" s="819"/>
      <c r="E648" s="820"/>
      <c r="F648" s="893">
        <f t="shared" si="62"/>
        <v>0</v>
      </c>
    </row>
    <row r="649" spans="1:6" ht="18" hidden="1" customHeight="1" x14ac:dyDescent="0.3">
      <c r="A649" s="1667"/>
      <c r="B649" s="306"/>
      <c r="C649" s="466">
        <f t="shared" ref="C649:C657" si="68">SUM(D649:E649)</f>
        <v>0</v>
      </c>
      <c r="D649" s="819"/>
      <c r="E649" s="820"/>
      <c r="F649" s="893">
        <f t="shared" si="62"/>
        <v>0</v>
      </c>
    </row>
    <row r="650" spans="1:6" ht="18" hidden="1" customHeight="1" x14ac:dyDescent="0.3">
      <c r="A650" s="1667"/>
      <c r="B650" s="306"/>
      <c r="C650" s="466">
        <f t="shared" si="68"/>
        <v>0</v>
      </c>
      <c r="D650" s="819"/>
      <c r="E650" s="820"/>
      <c r="F650" s="893">
        <f t="shared" si="62"/>
        <v>0</v>
      </c>
    </row>
    <row r="651" spans="1:6" ht="18" hidden="1" customHeight="1" x14ac:dyDescent="0.3">
      <c r="A651" s="1667"/>
      <c r="B651" s="306"/>
      <c r="C651" s="466">
        <f t="shared" si="68"/>
        <v>0</v>
      </c>
      <c r="D651" s="819"/>
      <c r="E651" s="820"/>
      <c r="F651" s="893">
        <f t="shared" ref="F651:F714" si="69">SUM(C651:E651)</f>
        <v>0</v>
      </c>
    </row>
    <row r="652" spans="1:6" ht="18" hidden="1" customHeight="1" x14ac:dyDescent="0.3">
      <c r="A652" s="1667"/>
      <c r="B652" s="306"/>
      <c r="C652" s="466">
        <f t="shared" si="68"/>
        <v>0</v>
      </c>
      <c r="D652" s="819"/>
      <c r="E652" s="820"/>
      <c r="F652" s="893">
        <f t="shared" si="69"/>
        <v>0</v>
      </c>
    </row>
    <row r="653" spans="1:6" ht="18" hidden="1" customHeight="1" x14ac:dyDescent="0.3">
      <c r="A653" s="1667"/>
      <c r="B653" s="306"/>
      <c r="C653" s="466">
        <f t="shared" si="68"/>
        <v>0</v>
      </c>
      <c r="D653" s="819"/>
      <c r="E653" s="820"/>
      <c r="F653" s="893">
        <f t="shared" si="69"/>
        <v>0</v>
      </c>
    </row>
    <row r="654" spans="1:6" ht="18" hidden="1" customHeight="1" x14ac:dyDescent="0.3">
      <c r="A654" s="1667"/>
      <c r="B654" s="306"/>
      <c r="C654" s="466">
        <f t="shared" si="68"/>
        <v>0</v>
      </c>
      <c r="D654" s="819"/>
      <c r="E654" s="820"/>
      <c r="F654" s="893">
        <f t="shared" si="69"/>
        <v>0</v>
      </c>
    </row>
    <row r="655" spans="1:6" ht="18" hidden="1" customHeight="1" x14ac:dyDescent="0.3">
      <c r="A655" s="1667"/>
      <c r="B655" s="306"/>
      <c r="C655" s="466">
        <f t="shared" si="68"/>
        <v>0</v>
      </c>
      <c r="D655" s="819"/>
      <c r="E655" s="820"/>
      <c r="F655" s="893">
        <f t="shared" si="69"/>
        <v>0</v>
      </c>
    </row>
    <row r="656" spans="1:6" ht="18" hidden="1" customHeight="1" x14ac:dyDescent="0.3">
      <c r="A656" s="1667"/>
      <c r="B656" s="306"/>
      <c r="C656" s="466">
        <f t="shared" si="68"/>
        <v>0</v>
      </c>
      <c r="D656" s="819"/>
      <c r="E656" s="820"/>
      <c r="F656" s="893">
        <f t="shared" si="69"/>
        <v>0</v>
      </c>
    </row>
    <row r="657" spans="1:6" ht="18" hidden="1" customHeight="1" x14ac:dyDescent="0.3">
      <c r="A657" s="1667"/>
      <c r="B657" s="306"/>
      <c r="C657" s="466">
        <f t="shared" si="68"/>
        <v>0</v>
      </c>
      <c r="D657" s="819"/>
      <c r="E657" s="820"/>
      <c r="F657" s="893">
        <f t="shared" si="69"/>
        <v>0</v>
      </c>
    </row>
    <row r="658" spans="1:6" ht="18" hidden="1" customHeight="1" x14ac:dyDescent="0.3">
      <c r="A658" s="1670"/>
      <c r="B658" s="849" t="s">
        <v>740</v>
      </c>
      <c r="C658" s="850">
        <f>SUM(C648:C657)</f>
        <v>0</v>
      </c>
      <c r="D658" s="850">
        <f>SUM(D648:D657)</f>
        <v>0</v>
      </c>
      <c r="E658" s="850">
        <f>SUM(E648:E657)</f>
        <v>0</v>
      </c>
      <c r="F658" s="893">
        <f t="shared" si="69"/>
        <v>0</v>
      </c>
    </row>
    <row r="659" spans="1:6" ht="18" hidden="1" customHeight="1" x14ac:dyDescent="0.3">
      <c r="A659" s="1669" t="s">
        <v>1137</v>
      </c>
      <c r="B659" s="306"/>
      <c r="C659" s="466">
        <f>SUM(D659:E659)</f>
        <v>0</v>
      </c>
      <c r="D659" s="819"/>
      <c r="E659" s="820"/>
      <c r="F659" s="893">
        <f t="shared" si="69"/>
        <v>0</v>
      </c>
    </row>
    <row r="660" spans="1:6" ht="18" hidden="1" customHeight="1" x14ac:dyDescent="0.3">
      <c r="A660" s="1667"/>
      <c r="B660" s="306"/>
      <c r="C660" s="466">
        <f t="shared" ref="C660:C668" si="70">SUM(D660:E660)</f>
        <v>0</v>
      </c>
      <c r="D660" s="819"/>
      <c r="E660" s="820"/>
      <c r="F660" s="893">
        <f t="shared" si="69"/>
        <v>0</v>
      </c>
    </row>
    <row r="661" spans="1:6" ht="18" hidden="1" customHeight="1" x14ac:dyDescent="0.3">
      <c r="A661" s="1667"/>
      <c r="B661" s="306"/>
      <c r="C661" s="466">
        <f t="shared" si="70"/>
        <v>0</v>
      </c>
      <c r="D661" s="819"/>
      <c r="E661" s="820"/>
      <c r="F661" s="893">
        <f t="shared" si="69"/>
        <v>0</v>
      </c>
    </row>
    <row r="662" spans="1:6" ht="18" hidden="1" customHeight="1" x14ac:dyDescent="0.3">
      <c r="A662" s="1667"/>
      <c r="B662" s="306"/>
      <c r="C662" s="466">
        <f t="shared" si="70"/>
        <v>0</v>
      </c>
      <c r="D662" s="819"/>
      <c r="E662" s="820"/>
      <c r="F662" s="893">
        <f t="shared" si="69"/>
        <v>0</v>
      </c>
    </row>
    <row r="663" spans="1:6" ht="18" hidden="1" customHeight="1" x14ac:dyDescent="0.3">
      <c r="A663" s="1667"/>
      <c r="B663" s="306"/>
      <c r="C663" s="466">
        <f t="shared" si="70"/>
        <v>0</v>
      </c>
      <c r="D663" s="819"/>
      <c r="E663" s="820"/>
      <c r="F663" s="893">
        <f t="shared" si="69"/>
        <v>0</v>
      </c>
    </row>
    <row r="664" spans="1:6" ht="18" hidden="1" customHeight="1" x14ac:dyDescent="0.3">
      <c r="A664" s="1667"/>
      <c r="B664" s="306"/>
      <c r="C664" s="466">
        <f t="shared" si="70"/>
        <v>0</v>
      </c>
      <c r="D664" s="819"/>
      <c r="E664" s="820"/>
      <c r="F664" s="893">
        <f t="shared" si="69"/>
        <v>0</v>
      </c>
    </row>
    <row r="665" spans="1:6" ht="18" hidden="1" customHeight="1" x14ac:dyDescent="0.3">
      <c r="A665" s="1667"/>
      <c r="B665" s="306"/>
      <c r="C665" s="466">
        <f t="shared" si="70"/>
        <v>0</v>
      </c>
      <c r="D665" s="819"/>
      <c r="E665" s="820"/>
      <c r="F665" s="893">
        <f t="shared" si="69"/>
        <v>0</v>
      </c>
    </row>
    <row r="666" spans="1:6" ht="18" hidden="1" customHeight="1" x14ac:dyDescent="0.3">
      <c r="A666" s="1667"/>
      <c r="B666" s="306"/>
      <c r="C666" s="466">
        <f t="shared" si="70"/>
        <v>0</v>
      </c>
      <c r="D666" s="819"/>
      <c r="E666" s="820"/>
      <c r="F666" s="893">
        <f t="shared" si="69"/>
        <v>0</v>
      </c>
    </row>
    <row r="667" spans="1:6" ht="18" hidden="1" customHeight="1" x14ac:dyDescent="0.3">
      <c r="A667" s="1667"/>
      <c r="B667" s="306"/>
      <c r="C667" s="466">
        <f t="shared" si="70"/>
        <v>0</v>
      </c>
      <c r="D667" s="819"/>
      <c r="E667" s="820"/>
      <c r="F667" s="893">
        <f t="shared" si="69"/>
        <v>0</v>
      </c>
    </row>
    <row r="668" spans="1:6" ht="18" hidden="1" customHeight="1" x14ac:dyDescent="0.3">
      <c r="A668" s="1667"/>
      <c r="B668" s="306"/>
      <c r="C668" s="466">
        <f t="shared" si="70"/>
        <v>0</v>
      </c>
      <c r="D668" s="819"/>
      <c r="E668" s="820"/>
      <c r="F668" s="893">
        <f t="shared" si="69"/>
        <v>0</v>
      </c>
    </row>
    <row r="669" spans="1:6" ht="18" hidden="1" customHeight="1" x14ac:dyDescent="0.3">
      <c r="A669" s="1670"/>
      <c r="B669" s="849" t="s">
        <v>740</v>
      </c>
      <c r="C669" s="850">
        <f>SUM(C659:C668)</f>
        <v>0</v>
      </c>
      <c r="D669" s="850">
        <f>SUM(D659:D668)</f>
        <v>0</v>
      </c>
      <c r="E669" s="850">
        <f>SUM(E659:E668)</f>
        <v>0</v>
      </c>
      <c r="F669" s="893">
        <f t="shared" si="69"/>
        <v>0</v>
      </c>
    </row>
    <row r="670" spans="1:6" ht="18" hidden="1" customHeight="1" x14ac:dyDescent="0.3">
      <c r="A670" s="1669" t="s">
        <v>1139</v>
      </c>
      <c r="B670" s="306"/>
      <c r="C670" s="466">
        <f>SUM(D670:E670)</f>
        <v>0</v>
      </c>
      <c r="D670" s="819"/>
      <c r="E670" s="820"/>
      <c r="F670" s="893">
        <f t="shared" si="69"/>
        <v>0</v>
      </c>
    </row>
    <row r="671" spans="1:6" ht="18" hidden="1" customHeight="1" x14ac:dyDescent="0.3">
      <c r="A671" s="1667"/>
      <c r="B671" s="306"/>
      <c r="C671" s="466">
        <f t="shared" ref="C671:C679" si="71">SUM(D671:E671)</f>
        <v>0</v>
      </c>
      <c r="D671" s="819"/>
      <c r="E671" s="820"/>
      <c r="F671" s="893">
        <f t="shared" si="69"/>
        <v>0</v>
      </c>
    </row>
    <row r="672" spans="1:6" ht="18" hidden="1" customHeight="1" x14ac:dyDescent="0.3">
      <c r="A672" s="1667"/>
      <c r="B672" s="306"/>
      <c r="C672" s="466">
        <f t="shared" si="71"/>
        <v>0</v>
      </c>
      <c r="D672" s="819"/>
      <c r="E672" s="820"/>
      <c r="F672" s="893">
        <f t="shared" si="69"/>
        <v>0</v>
      </c>
    </row>
    <row r="673" spans="1:6" ht="18" hidden="1" customHeight="1" x14ac:dyDescent="0.3">
      <c r="A673" s="1667"/>
      <c r="B673" s="306"/>
      <c r="C673" s="466">
        <f t="shared" si="71"/>
        <v>0</v>
      </c>
      <c r="D673" s="819"/>
      <c r="E673" s="820"/>
      <c r="F673" s="893">
        <f t="shared" si="69"/>
        <v>0</v>
      </c>
    </row>
    <row r="674" spans="1:6" ht="18" hidden="1" customHeight="1" x14ac:dyDescent="0.3">
      <c r="A674" s="1667"/>
      <c r="B674" s="306"/>
      <c r="C674" s="466">
        <f t="shared" si="71"/>
        <v>0</v>
      </c>
      <c r="D674" s="819"/>
      <c r="E674" s="820"/>
      <c r="F674" s="893">
        <f t="shared" si="69"/>
        <v>0</v>
      </c>
    </row>
    <row r="675" spans="1:6" ht="18" hidden="1" customHeight="1" x14ac:dyDescent="0.3">
      <c r="A675" s="1667"/>
      <c r="B675" s="306"/>
      <c r="C675" s="466">
        <f t="shared" si="71"/>
        <v>0</v>
      </c>
      <c r="D675" s="819"/>
      <c r="E675" s="820"/>
      <c r="F675" s="893">
        <f t="shared" si="69"/>
        <v>0</v>
      </c>
    </row>
    <row r="676" spans="1:6" ht="18" hidden="1" customHeight="1" x14ac:dyDescent="0.3">
      <c r="A676" s="1667"/>
      <c r="B676" s="306"/>
      <c r="C676" s="466">
        <f t="shared" si="71"/>
        <v>0</v>
      </c>
      <c r="D676" s="819"/>
      <c r="E676" s="820"/>
      <c r="F676" s="893">
        <f t="shared" si="69"/>
        <v>0</v>
      </c>
    </row>
    <row r="677" spans="1:6" ht="18" hidden="1" customHeight="1" x14ac:dyDescent="0.3">
      <c r="A677" s="1667"/>
      <c r="B677" s="306"/>
      <c r="C677" s="466">
        <f t="shared" si="71"/>
        <v>0</v>
      </c>
      <c r="D677" s="819"/>
      <c r="E677" s="820"/>
      <c r="F677" s="893">
        <f t="shared" si="69"/>
        <v>0</v>
      </c>
    </row>
    <row r="678" spans="1:6" ht="18" hidden="1" customHeight="1" x14ac:dyDescent="0.3">
      <c r="A678" s="1667"/>
      <c r="B678" s="306"/>
      <c r="C678" s="466">
        <f t="shared" si="71"/>
        <v>0</v>
      </c>
      <c r="D678" s="819"/>
      <c r="E678" s="820"/>
      <c r="F678" s="893">
        <f t="shared" si="69"/>
        <v>0</v>
      </c>
    </row>
    <row r="679" spans="1:6" ht="18" hidden="1" customHeight="1" x14ac:dyDescent="0.3">
      <c r="A679" s="1667"/>
      <c r="B679" s="306"/>
      <c r="C679" s="466">
        <f t="shared" si="71"/>
        <v>0</v>
      </c>
      <c r="D679" s="819"/>
      <c r="E679" s="820"/>
      <c r="F679" s="893">
        <f t="shared" si="69"/>
        <v>0</v>
      </c>
    </row>
    <row r="680" spans="1:6" ht="18" hidden="1" customHeight="1" x14ac:dyDescent="0.3">
      <c r="A680" s="1670"/>
      <c r="B680" s="849" t="s">
        <v>740</v>
      </c>
      <c r="C680" s="850">
        <f>SUM(C670:C679)</f>
        <v>0</v>
      </c>
      <c r="D680" s="850">
        <f>SUM(D670:D679)</f>
        <v>0</v>
      </c>
      <c r="E680" s="850">
        <f>SUM(E670:E679)</f>
        <v>0</v>
      </c>
      <c r="F680" s="893">
        <f t="shared" si="69"/>
        <v>0</v>
      </c>
    </row>
    <row r="681" spans="1:6" ht="18" hidden="1" customHeight="1" x14ac:dyDescent="0.3">
      <c r="A681" s="1669" t="s">
        <v>1141</v>
      </c>
      <c r="B681" s="306"/>
      <c r="C681" s="466">
        <f>SUM(D681:E681)</f>
        <v>0</v>
      </c>
      <c r="D681" s="819"/>
      <c r="E681" s="820"/>
      <c r="F681" s="893">
        <f t="shared" si="69"/>
        <v>0</v>
      </c>
    </row>
    <row r="682" spans="1:6" ht="18" hidden="1" customHeight="1" x14ac:dyDescent="0.3">
      <c r="A682" s="1667"/>
      <c r="B682" s="306"/>
      <c r="C682" s="466">
        <f t="shared" ref="C682:C690" si="72">SUM(D682:E682)</f>
        <v>0</v>
      </c>
      <c r="D682" s="819"/>
      <c r="E682" s="820"/>
      <c r="F682" s="893">
        <f t="shared" si="69"/>
        <v>0</v>
      </c>
    </row>
    <row r="683" spans="1:6" ht="18" hidden="1" customHeight="1" x14ac:dyDescent="0.3">
      <c r="A683" s="1667"/>
      <c r="B683" s="306"/>
      <c r="C683" s="466">
        <f t="shared" si="72"/>
        <v>0</v>
      </c>
      <c r="D683" s="819"/>
      <c r="E683" s="820"/>
      <c r="F683" s="893">
        <f t="shared" si="69"/>
        <v>0</v>
      </c>
    </row>
    <row r="684" spans="1:6" ht="18" hidden="1" customHeight="1" x14ac:dyDescent="0.3">
      <c r="A684" s="1667"/>
      <c r="B684" s="306"/>
      <c r="C684" s="466">
        <f t="shared" si="72"/>
        <v>0</v>
      </c>
      <c r="D684" s="819"/>
      <c r="E684" s="820"/>
      <c r="F684" s="893">
        <f t="shared" si="69"/>
        <v>0</v>
      </c>
    </row>
    <row r="685" spans="1:6" ht="18" hidden="1" customHeight="1" x14ac:dyDescent="0.3">
      <c r="A685" s="1667"/>
      <c r="B685" s="306"/>
      <c r="C685" s="466">
        <f t="shared" si="72"/>
        <v>0</v>
      </c>
      <c r="D685" s="819"/>
      <c r="E685" s="820"/>
      <c r="F685" s="893">
        <f t="shared" si="69"/>
        <v>0</v>
      </c>
    </row>
    <row r="686" spans="1:6" ht="18" hidden="1" customHeight="1" x14ac:dyDescent="0.3">
      <c r="A686" s="1667"/>
      <c r="B686" s="306"/>
      <c r="C686" s="466">
        <f t="shared" si="72"/>
        <v>0</v>
      </c>
      <c r="D686" s="819"/>
      <c r="E686" s="820"/>
      <c r="F686" s="893">
        <f t="shared" si="69"/>
        <v>0</v>
      </c>
    </row>
    <row r="687" spans="1:6" ht="18" hidden="1" customHeight="1" x14ac:dyDescent="0.3">
      <c r="A687" s="1667"/>
      <c r="B687" s="306"/>
      <c r="C687" s="466">
        <f t="shared" si="72"/>
        <v>0</v>
      </c>
      <c r="D687" s="819"/>
      <c r="E687" s="820"/>
      <c r="F687" s="893">
        <f t="shared" si="69"/>
        <v>0</v>
      </c>
    </row>
    <row r="688" spans="1:6" ht="18" hidden="1" customHeight="1" x14ac:dyDescent="0.3">
      <c r="A688" s="1667"/>
      <c r="B688" s="306"/>
      <c r="C688" s="466">
        <f t="shared" si="72"/>
        <v>0</v>
      </c>
      <c r="D688" s="819"/>
      <c r="E688" s="820"/>
      <c r="F688" s="893">
        <f t="shared" si="69"/>
        <v>0</v>
      </c>
    </row>
    <row r="689" spans="1:6" ht="18" hidden="1" customHeight="1" x14ac:dyDescent="0.3">
      <c r="A689" s="1667"/>
      <c r="B689" s="306"/>
      <c r="C689" s="466">
        <f t="shared" si="72"/>
        <v>0</v>
      </c>
      <c r="D689" s="819"/>
      <c r="E689" s="820"/>
      <c r="F689" s="893">
        <f t="shared" si="69"/>
        <v>0</v>
      </c>
    </row>
    <row r="690" spans="1:6" ht="18" hidden="1" customHeight="1" x14ac:dyDescent="0.3">
      <c r="A690" s="1667"/>
      <c r="B690" s="306"/>
      <c r="C690" s="466">
        <f t="shared" si="72"/>
        <v>0</v>
      </c>
      <c r="D690" s="819"/>
      <c r="E690" s="820"/>
      <c r="F690" s="893">
        <f t="shared" si="69"/>
        <v>0</v>
      </c>
    </row>
    <row r="691" spans="1:6" ht="18" hidden="1" customHeight="1" x14ac:dyDescent="0.3">
      <c r="A691" s="1670"/>
      <c r="B691" s="849" t="s">
        <v>740</v>
      </c>
      <c r="C691" s="850">
        <f>SUM(C681:C690)</f>
        <v>0</v>
      </c>
      <c r="D691" s="850">
        <f>SUM(D681:D690)</f>
        <v>0</v>
      </c>
      <c r="E691" s="850">
        <f>SUM(E681:E690)</f>
        <v>0</v>
      </c>
      <c r="F691" s="893">
        <f t="shared" si="69"/>
        <v>0</v>
      </c>
    </row>
    <row r="692" spans="1:6" ht="18" hidden="1" customHeight="1" x14ac:dyDescent="0.3">
      <c r="A692" s="1669" t="s">
        <v>1143</v>
      </c>
      <c r="B692" s="306"/>
      <c r="C692" s="466">
        <f>SUM(D692:E692)</f>
        <v>0</v>
      </c>
      <c r="D692" s="819"/>
      <c r="E692" s="820"/>
      <c r="F692" s="893">
        <f t="shared" si="69"/>
        <v>0</v>
      </c>
    </row>
    <row r="693" spans="1:6" ht="18" hidden="1" customHeight="1" x14ac:dyDescent="0.3">
      <c r="A693" s="1667"/>
      <c r="B693" s="306"/>
      <c r="C693" s="466">
        <f t="shared" ref="C693:C701" si="73">SUM(D693:E693)</f>
        <v>0</v>
      </c>
      <c r="D693" s="819"/>
      <c r="E693" s="820"/>
      <c r="F693" s="893">
        <f t="shared" si="69"/>
        <v>0</v>
      </c>
    </row>
    <row r="694" spans="1:6" ht="18" hidden="1" customHeight="1" x14ac:dyDescent="0.3">
      <c r="A694" s="1667"/>
      <c r="B694" s="306"/>
      <c r="C694" s="466">
        <f t="shared" si="73"/>
        <v>0</v>
      </c>
      <c r="D694" s="819"/>
      <c r="E694" s="820"/>
      <c r="F694" s="893">
        <f t="shared" si="69"/>
        <v>0</v>
      </c>
    </row>
    <row r="695" spans="1:6" ht="18" hidden="1" customHeight="1" x14ac:dyDescent="0.3">
      <c r="A695" s="1667"/>
      <c r="B695" s="306"/>
      <c r="C695" s="466">
        <f t="shared" si="73"/>
        <v>0</v>
      </c>
      <c r="D695" s="819"/>
      <c r="E695" s="820"/>
      <c r="F695" s="893">
        <f t="shared" si="69"/>
        <v>0</v>
      </c>
    </row>
    <row r="696" spans="1:6" ht="18" hidden="1" customHeight="1" x14ac:dyDescent="0.3">
      <c r="A696" s="1667"/>
      <c r="B696" s="306"/>
      <c r="C696" s="466">
        <f t="shared" si="73"/>
        <v>0</v>
      </c>
      <c r="D696" s="819"/>
      <c r="E696" s="820"/>
      <c r="F696" s="893">
        <f t="shared" si="69"/>
        <v>0</v>
      </c>
    </row>
    <row r="697" spans="1:6" ht="18" hidden="1" customHeight="1" x14ac:dyDescent="0.3">
      <c r="A697" s="1667"/>
      <c r="B697" s="306"/>
      <c r="C697" s="466">
        <f t="shared" si="73"/>
        <v>0</v>
      </c>
      <c r="D697" s="819"/>
      <c r="E697" s="820"/>
      <c r="F697" s="893">
        <f t="shared" si="69"/>
        <v>0</v>
      </c>
    </row>
    <row r="698" spans="1:6" ht="18" hidden="1" customHeight="1" x14ac:dyDescent="0.3">
      <c r="A698" s="1667"/>
      <c r="B698" s="306"/>
      <c r="C698" s="466">
        <f t="shared" si="73"/>
        <v>0</v>
      </c>
      <c r="D698" s="819"/>
      <c r="E698" s="820"/>
      <c r="F698" s="893">
        <f t="shared" si="69"/>
        <v>0</v>
      </c>
    </row>
    <row r="699" spans="1:6" ht="18" hidden="1" customHeight="1" x14ac:dyDescent="0.3">
      <c r="A699" s="1667"/>
      <c r="B699" s="306"/>
      <c r="C699" s="466">
        <f t="shared" si="73"/>
        <v>0</v>
      </c>
      <c r="D699" s="819"/>
      <c r="E699" s="820"/>
      <c r="F699" s="893">
        <f t="shared" si="69"/>
        <v>0</v>
      </c>
    </row>
    <row r="700" spans="1:6" ht="18" hidden="1" customHeight="1" x14ac:dyDescent="0.3">
      <c r="A700" s="1667"/>
      <c r="B700" s="306"/>
      <c r="C700" s="466">
        <f t="shared" si="73"/>
        <v>0</v>
      </c>
      <c r="D700" s="819"/>
      <c r="E700" s="820"/>
      <c r="F700" s="893">
        <f t="shared" si="69"/>
        <v>0</v>
      </c>
    </row>
    <row r="701" spans="1:6" ht="18" hidden="1" customHeight="1" x14ac:dyDescent="0.3">
      <c r="A701" s="1667"/>
      <c r="B701" s="306"/>
      <c r="C701" s="466">
        <f t="shared" si="73"/>
        <v>0</v>
      </c>
      <c r="D701" s="819"/>
      <c r="E701" s="820"/>
      <c r="F701" s="893">
        <f t="shared" si="69"/>
        <v>0</v>
      </c>
    </row>
    <row r="702" spans="1:6" ht="18" hidden="1" customHeight="1" x14ac:dyDescent="0.3">
      <c r="A702" s="1670"/>
      <c r="B702" s="849" t="s">
        <v>740</v>
      </c>
      <c r="C702" s="850">
        <f>SUM(C692:C701)</f>
        <v>0</v>
      </c>
      <c r="D702" s="850">
        <f>SUM(D692:D701)</f>
        <v>0</v>
      </c>
      <c r="E702" s="850">
        <f>SUM(E692:E701)</f>
        <v>0</v>
      </c>
      <c r="F702" s="893">
        <f t="shared" si="69"/>
        <v>0</v>
      </c>
    </row>
    <row r="703" spans="1:6" ht="18" hidden="1" customHeight="1" x14ac:dyDescent="0.3">
      <c r="A703" s="1669" t="s">
        <v>1145</v>
      </c>
      <c r="B703" s="306"/>
      <c r="C703" s="466">
        <f>SUM(D703:E703)</f>
        <v>0</v>
      </c>
      <c r="D703" s="819"/>
      <c r="E703" s="820"/>
      <c r="F703" s="893">
        <f t="shared" si="69"/>
        <v>0</v>
      </c>
    </row>
    <row r="704" spans="1:6" ht="18" hidden="1" customHeight="1" x14ac:dyDescent="0.3">
      <c r="A704" s="1667"/>
      <c r="B704" s="306"/>
      <c r="C704" s="466">
        <f t="shared" ref="C704:C712" si="74">SUM(D704:E704)</f>
        <v>0</v>
      </c>
      <c r="D704" s="819"/>
      <c r="E704" s="820"/>
      <c r="F704" s="893">
        <f t="shared" si="69"/>
        <v>0</v>
      </c>
    </row>
    <row r="705" spans="1:6" ht="18" hidden="1" customHeight="1" x14ac:dyDescent="0.3">
      <c r="A705" s="1667"/>
      <c r="B705" s="306"/>
      <c r="C705" s="466">
        <f t="shared" si="74"/>
        <v>0</v>
      </c>
      <c r="D705" s="819"/>
      <c r="E705" s="820"/>
      <c r="F705" s="893">
        <f t="shared" si="69"/>
        <v>0</v>
      </c>
    </row>
    <row r="706" spans="1:6" ht="18" hidden="1" customHeight="1" x14ac:dyDescent="0.3">
      <c r="A706" s="1667"/>
      <c r="B706" s="306"/>
      <c r="C706" s="466">
        <f t="shared" si="74"/>
        <v>0</v>
      </c>
      <c r="D706" s="819"/>
      <c r="E706" s="820"/>
      <c r="F706" s="893">
        <f t="shared" si="69"/>
        <v>0</v>
      </c>
    </row>
    <row r="707" spans="1:6" ht="18" hidden="1" customHeight="1" x14ac:dyDescent="0.3">
      <c r="A707" s="1667"/>
      <c r="B707" s="306"/>
      <c r="C707" s="466">
        <f t="shared" si="74"/>
        <v>0</v>
      </c>
      <c r="D707" s="819"/>
      <c r="E707" s="820"/>
      <c r="F707" s="893">
        <f t="shared" si="69"/>
        <v>0</v>
      </c>
    </row>
    <row r="708" spans="1:6" ht="18" hidden="1" customHeight="1" x14ac:dyDescent="0.3">
      <c r="A708" s="1667"/>
      <c r="B708" s="306"/>
      <c r="C708" s="466">
        <f t="shared" si="74"/>
        <v>0</v>
      </c>
      <c r="D708" s="819"/>
      <c r="E708" s="820"/>
      <c r="F708" s="893">
        <f t="shared" si="69"/>
        <v>0</v>
      </c>
    </row>
    <row r="709" spans="1:6" ht="18" hidden="1" customHeight="1" x14ac:dyDescent="0.3">
      <c r="A709" s="1667"/>
      <c r="B709" s="306"/>
      <c r="C709" s="466">
        <f t="shared" si="74"/>
        <v>0</v>
      </c>
      <c r="D709" s="819"/>
      <c r="E709" s="820"/>
      <c r="F709" s="893">
        <f t="shared" si="69"/>
        <v>0</v>
      </c>
    </row>
    <row r="710" spans="1:6" ht="18" hidden="1" customHeight="1" x14ac:dyDescent="0.3">
      <c r="A710" s="1667"/>
      <c r="B710" s="306"/>
      <c r="C710" s="466">
        <f t="shared" si="74"/>
        <v>0</v>
      </c>
      <c r="D710" s="819"/>
      <c r="E710" s="820"/>
      <c r="F710" s="893">
        <f t="shared" si="69"/>
        <v>0</v>
      </c>
    </row>
    <row r="711" spans="1:6" ht="18" hidden="1" customHeight="1" x14ac:dyDescent="0.3">
      <c r="A711" s="1667"/>
      <c r="B711" s="306"/>
      <c r="C711" s="466">
        <f t="shared" si="74"/>
        <v>0</v>
      </c>
      <c r="D711" s="819"/>
      <c r="E711" s="820"/>
      <c r="F711" s="893">
        <f t="shared" si="69"/>
        <v>0</v>
      </c>
    </row>
    <row r="712" spans="1:6" ht="18" hidden="1" customHeight="1" x14ac:dyDescent="0.3">
      <c r="A712" s="1667"/>
      <c r="B712" s="306"/>
      <c r="C712" s="466">
        <f t="shared" si="74"/>
        <v>0</v>
      </c>
      <c r="D712" s="819"/>
      <c r="E712" s="820"/>
      <c r="F712" s="893">
        <f t="shared" si="69"/>
        <v>0</v>
      </c>
    </row>
    <row r="713" spans="1:6" ht="18" hidden="1" customHeight="1" x14ac:dyDescent="0.3">
      <c r="A713" s="1670"/>
      <c r="B713" s="849" t="s">
        <v>740</v>
      </c>
      <c r="C713" s="850">
        <f>SUM(C703:C712)</f>
        <v>0</v>
      </c>
      <c r="D713" s="850">
        <f>SUM(D703:D712)</f>
        <v>0</v>
      </c>
      <c r="E713" s="850">
        <f>SUM(E703:E712)</f>
        <v>0</v>
      </c>
      <c r="F713" s="893">
        <f t="shared" si="69"/>
        <v>0</v>
      </c>
    </row>
    <row r="714" spans="1:6" ht="18" hidden="1" customHeight="1" x14ac:dyDescent="0.3">
      <c r="A714" s="1669" t="s">
        <v>1147</v>
      </c>
      <c r="B714" s="306"/>
      <c r="C714" s="466">
        <f>SUM(D714:E714)</f>
        <v>0</v>
      </c>
      <c r="D714" s="819"/>
      <c r="E714" s="820"/>
      <c r="F714" s="893">
        <f t="shared" si="69"/>
        <v>0</v>
      </c>
    </row>
    <row r="715" spans="1:6" ht="18" hidden="1" customHeight="1" x14ac:dyDescent="0.3">
      <c r="A715" s="1667"/>
      <c r="B715" s="306"/>
      <c r="C715" s="466">
        <f t="shared" ref="C715:C723" si="75">SUM(D715:E715)</f>
        <v>0</v>
      </c>
      <c r="D715" s="819"/>
      <c r="E715" s="820"/>
      <c r="F715" s="893">
        <f t="shared" ref="F715:F736" si="76">SUM(C715:E715)</f>
        <v>0</v>
      </c>
    </row>
    <row r="716" spans="1:6" ht="18" hidden="1" customHeight="1" x14ac:dyDescent="0.3">
      <c r="A716" s="1667"/>
      <c r="B716" s="306"/>
      <c r="C716" s="466">
        <f t="shared" si="75"/>
        <v>0</v>
      </c>
      <c r="D716" s="819"/>
      <c r="E716" s="820"/>
      <c r="F716" s="893">
        <f t="shared" si="76"/>
        <v>0</v>
      </c>
    </row>
    <row r="717" spans="1:6" ht="18" hidden="1" customHeight="1" x14ac:dyDescent="0.3">
      <c r="A717" s="1667"/>
      <c r="B717" s="306"/>
      <c r="C717" s="466">
        <f t="shared" si="75"/>
        <v>0</v>
      </c>
      <c r="D717" s="819"/>
      <c r="E717" s="820"/>
      <c r="F717" s="893">
        <f t="shared" si="76"/>
        <v>0</v>
      </c>
    </row>
    <row r="718" spans="1:6" ht="18" hidden="1" customHeight="1" x14ac:dyDescent="0.3">
      <c r="A718" s="1667"/>
      <c r="B718" s="306"/>
      <c r="C718" s="466">
        <f t="shared" si="75"/>
        <v>0</v>
      </c>
      <c r="D718" s="819"/>
      <c r="E718" s="820"/>
      <c r="F718" s="893">
        <f t="shared" si="76"/>
        <v>0</v>
      </c>
    </row>
    <row r="719" spans="1:6" ht="18" hidden="1" customHeight="1" x14ac:dyDescent="0.3">
      <c r="A719" s="1667"/>
      <c r="B719" s="306"/>
      <c r="C719" s="466">
        <f t="shared" si="75"/>
        <v>0</v>
      </c>
      <c r="D719" s="819"/>
      <c r="E719" s="820"/>
      <c r="F719" s="893">
        <f t="shared" si="76"/>
        <v>0</v>
      </c>
    </row>
    <row r="720" spans="1:6" ht="18" hidden="1" customHeight="1" x14ac:dyDescent="0.3">
      <c r="A720" s="1667"/>
      <c r="B720" s="306"/>
      <c r="C720" s="466">
        <f t="shared" si="75"/>
        <v>0</v>
      </c>
      <c r="D720" s="819"/>
      <c r="E720" s="820"/>
      <c r="F720" s="893">
        <f t="shared" si="76"/>
        <v>0</v>
      </c>
    </row>
    <row r="721" spans="1:6" ht="18" hidden="1" customHeight="1" x14ac:dyDescent="0.3">
      <c r="A721" s="1667"/>
      <c r="B721" s="306"/>
      <c r="C721" s="466">
        <f t="shared" si="75"/>
        <v>0</v>
      </c>
      <c r="D721" s="819"/>
      <c r="E721" s="820"/>
      <c r="F721" s="893">
        <f t="shared" si="76"/>
        <v>0</v>
      </c>
    </row>
    <row r="722" spans="1:6" ht="18" hidden="1" customHeight="1" x14ac:dyDescent="0.3">
      <c r="A722" s="1667"/>
      <c r="B722" s="306"/>
      <c r="C722" s="466">
        <f t="shared" si="75"/>
        <v>0</v>
      </c>
      <c r="D722" s="819"/>
      <c r="E722" s="820"/>
      <c r="F722" s="893">
        <f t="shared" si="76"/>
        <v>0</v>
      </c>
    </row>
    <row r="723" spans="1:6" ht="18" hidden="1" customHeight="1" x14ac:dyDescent="0.3">
      <c r="A723" s="1667"/>
      <c r="B723" s="306"/>
      <c r="C723" s="466">
        <f t="shared" si="75"/>
        <v>0</v>
      </c>
      <c r="D723" s="819"/>
      <c r="E723" s="820"/>
      <c r="F723" s="893">
        <f t="shared" si="76"/>
        <v>0</v>
      </c>
    </row>
    <row r="724" spans="1:6" ht="18" hidden="1" customHeight="1" x14ac:dyDescent="0.3">
      <c r="A724" s="1670"/>
      <c r="B724" s="849" t="s">
        <v>740</v>
      </c>
      <c r="C724" s="850">
        <f>SUM(C714:C723)</f>
        <v>0</v>
      </c>
      <c r="D724" s="850">
        <f>SUM(D714:D723)</f>
        <v>0</v>
      </c>
      <c r="E724" s="850">
        <f>SUM(E714:E723)</f>
        <v>0</v>
      </c>
      <c r="F724" s="893">
        <f t="shared" si="76"/>
        <v>0</v>
      </c>
    </row>
    <row r="725" spans="1:6" ht="18" hidden="1" customHeight="1" x14ac:dyDescent="0.3">
      <c r="A725" s="1669" t="s">
        <v>1149</v>
      </c>
      <c r="B725" s="306"/>
      <c r="C725" s="466">
        <f>SUM(D725:E725)</f>
        <v>0</v>
      </c>
      <c r="D725" s="819"/>
      <c r="E725" s="820"/>
      <c r="F725" s="893">
        <f t="shared" si="76"/>
        <v>0</v>
      </c>
    </row>
    <row r="726" spans="1:6" ht="18" hidden="1" customHeight="1" x14ac:dyDescent="0.3">
      <c r="A726" s="1667"/>
      <c r="B726" s="306"/>
      <c r="C726" s="466">
        <f t="shared" ref="C726:C734" si="77">SUM(D726:E726)</f>
        <v>0</v>
      </c>
      <c r="D726" s="819"/>
      <c r="E726" s="820"/>
      <c r="F726" s="893">
        <f t="shared" si="76"/>
        <v>0</v>
      </c>
    </row>
    <row r="727" spans="1:6" ht="18" hidden="1" customHeight="1" x14ac:dyDescent="0.3">
      <c r="A727" s="1667"/>
      <c r="B727" s="306"/>
      <c r="C727" s="466">
        <f t="shared" si="77"/>
        <v>0</v>
      </c>
      <c r="D727" s="819"/>
      <c r="E727" s="820"/>
      <c r="F727" s="893">
        <f t="shared" si="76"/>
        <v>0</v>
      </c>
    </row>
    <row r="728" spans="1:6" ht="18" hidden="1" customHeight="1" x14ac:dyDescent="0.3">
      <c r="A728" s="1667"/>
      <c r="B728" s="306"/>
      <c r="C728" s="466">
        <f t="shared" si="77"/>
        <v>0</v>
      </c>
      <c r="D728" s="819"/>
      <c r="E728" s="820"/>
      <c r="F728" s="893">
        <f t="shared" si="76"/>
        <v>0</v>
      </c>
    </row>
    <row r="729" spans="1:6" ht="18" hidden="1" customHeight="1" x14ac:dyDescent="0.3">
      <c r="A729" s="1667"/>
      <c r="B729" s="306"/>
      <c r="C729" s="466">
        <f t="shared" si="77"/>
        <v>0</v>
      </c>
      <c r="D729" s="819"/>
      <c r="E729" s="820"/>
      <c r="F729" s="893">
        <f t="shared" si="76"/>
        <v>0</v>
      </c>
    </row>
    <row r="730" spans="1:6" ht="18" hidden="1" customHeight="1" x14ac:dyDescent="0.3">
      <c r="A730" s="1667"/>
      <c r="B730" s="306"/>
      <c r="C730" s="466">
        <f t="shared" si="77"/>
        <v>0</v>
      </c>
      <c r="D730" s="819"/>
      <c r="E730" s="820"/>
      <c r="F730" s="893">
        <f t="shared" si="76"/>
        <v>0</v>
      </c>
    </row>
    <row r="731" spans="1:6" ht="18" hidden="1" customHeight="1" x14ac:dyDescent="0.3">
      <c r="A731" s="1667"/>
      <c r="B731" s="306"/>
      <c r="C731" s="466">
        <f t="shared" si="77"/>
        <v>0</v>
      </c>
      <c r="D731" s="819"/>
      <c r="E731" s="820"/>
      <c r="F731" s="893">
        <f t="shared" si="76"/>
        <v>0</v>
      </c>
    </row>
    <row r="732" spans="1:6" ht="18" hidden="1" customHeight="1" x14ac:dyDescent="0.3">
      <c r="A732" s="1667"/>
      <c r="B732" s="306"/>
      <c r="C732" s="466">
        <f t="shared" si="77"/>
        <v>0</v>
      </c>
      <c r="D732" s="819"/>
      <c r="E732" s="820"/>
      <c r="F732" s="893">
        <f t="shared" si="76"/>
        <v>0</v>
      </c>
    </row>
    <row r="733" spans="1:6" ht="18" hidden="1" customHeight="1" x14ac:dyDescent="0.3">
      <c r="A733" s="1667"/>
      <c r="B733" s="306"/>
      <c r="C733" s="466">
        <f t="shared" si="77"/>
        <v>0</v>
      </c>
      <c r="D733" s="819"/>
      <c r="E733" s="820"/>
      <c r="F733" s="893">
        <f t="shared" si="76"/>
        <v>0</v>
      </c>
    </row>
    <row r="734" spans="1:6" ht="18" hidden="1" customHeight="1" x14ac:dyDescent="0.3">
      <c r="A734" s="1667"/>
      <c r="B734" s="306"/>
      <c r="C734" s="466">
        <f t="shared" si="77"/>
        <v>0</v>
      </c>
      <c r="D734" s="819"/>
      <c r="E734" s="820"/>
      <c r="F734" s="893">
        <f t="shared" si="76"/>
        <v>0</v>
      </c>
    </row>
    <row r="735" spans="1:6" ht="16.149999999999999" hidden="1" customHeight="1" x14ac:dyDescent="0.3">
      <c r="A735" s="1670"/>
      <c r="B735" s="849" t="s">
        <v>740</v>
      </c>
      <c r="C735" s="850">
        <f>SUM(C725:C734)</f>
        <v>0</v>
      </c>
      <c r="D735" s="850">
        <f>SUM(D725:D734)</f>
        <v>0</v>
      </c>
      <c r="E735" s="850">
        <f>SUM(E725:E734)</f>
        <v>0</v>
      </c>
      <c r="F735" s="893">
        <f t="shared" si="76"/>
        <v>0</v>
      </c>
    </row>
    <row r="736" spans="1:6" s="67" customFormat="1" x14ac:dyDescent="0.3">
      <c r="A736" s="1037"/>
      <c r="B736" s="1037" t="s">
        <v>1210</v>
      </c>
      <c r="C736" s="1038">
        <f>C20+C31+C42+C53+C64+C75+C86+C97+C108+C119+C130+C141+C152+C163+C174+C185+C196+C207+C218+C229+C240+C251+C262+C273+C284+C295+C306+C317+C328+C339+C350+C361+C372+C383+C394+C405+C416+C427+C438+C449+C460+C471+C482+C493+C504+C515+C526+C537+C548+C559+C570+C581+C592+C603+C614+C625+C636+C647+C658+C669+C680+C691+C702+C713+C724+C735</f>
        <v>3270620</v>
      </c>
      <c r="D736" s="1038">
        <f>D20+D31+D42+D53+D64+D75+D86+D97+D108+D119+D130+D141+D152+D163+D174+D185+D196+D207+D218+D229+D240+D251+D262+D273+D284+D295+D306+D317+D328+D339+D350+D361+D372+D383+D394+D405+D416+D427+D438+D449+D460+D471+D482+D493+D504+D515+D526+D537+D548+D559+D570+D581+D592+D603+D614+D625+D636+D647+D658+D669+D680+D691+D702+D713+D724+D735</f>
        <v>3270620</v>
      </c>
      <c r="E736" s="1038">
        <f>E20+E31+E42+E53+E64+E75+E86+E97+E108+E119+E130+E141+E152+E163+E174+E185+E196+E207+E218+E229+E240+E251+E262+E273+E284+E295+E306+E317+E328+E339+E350+E361+E372+E383+E394+E405+E416+E427+E438+E449+E460+E471+E482+E493+E504+E515+E526+E537+E548+E559+E570+E581+E592+E603+E614+E625+E636+E647+E658+E669+E680+E691+E702+E713+E724+E735</f>
        <v>0</v>
      </c>
      <c r="F736" s="893">
        <f t="shared" si="76"/>
        <v>6541240</v>
      </c>
    </row>
    <row r="737" spans="1:6" x14ac:dyDescent="0.3">
      <c r="A737" s="161"/>
      <c r="B737" s="241"/>
      <c r="C737" s="234"/>
      <c r="D737" s="234"/>
      <c r="E737" s="234"/>
      <c r="F737" s="139">
        <v>1</v>
      </c>
    </row>
    <row r="738" spans="1:6" x14ac:dyDescent="0.3">
      <c r="A738" s="128" t="s">
        <v>174</v>
      </c>
      <c r="B738" s="242"/>
      <c r="C738" s="243"/>
      <c r="D738" s="244"/>
      <c r="E738" s="242" t="s">
        <v>1171</v>
      </c>
      <c r="F738" s="139">
        <v>1</v>
      </c>
    </row>
    <row r="739" spans="1:6" x14ac:dyDescent="0.3">
      <c r="A739" s="161"/>
      <c r="B739" s="241"/>
      <c r="C739" s="234"/>
      <c r="D739" s="234"/>
      <c r="E739" s="234"/>
      <c r="F739" s="139">
        <v>1</v>
      </c>
    </row>
    <row r="740" spans="1:6" x14ac:dyDescent="0.3">
      <c r="A740" s="161"/>
      <c r="B740" s="241"/>
      <c r="C740" s="234"/>
      <c r="D740" s="234"/>
      <c r="E740" s="234"/>
      <c r="F740" s="139">
        <v>1</v>
      </c>
    </row>
    <row r="741" spans="1:6" hidden="1" x14ac:dyDescent="0.3">
      <c r="E741" s="236"/>
      <c r="F741" s="139">
        <v>1</v>
      </c>
    </row>
    <row r="742" spans="1:6" hidden="1" x14ac:dyDescent="0.3">
      <c r="A742" s="161"/>
      <c r="B742" s="241"/>
      <c r="C742" s="234"/>
      <c r="D742" s="234"/>
      <c r="E742" s="234"/>
      <c r="F742" s="139">
        <v>1</v>
      </c>
    </row>
    <row r="743" spans="1:6" hidden="1" x14ac:dyDescent="0.3">
      <c r="C743" s="235">
        <f>C736-дод1!C158</f>
        <v>0</v>
      </c>
      <c r="D743" s="235">
        <f>D736-дод1!D158</f>
        <v>0</v>
      </c>
      <c r="E743" s="235">
        <f>E736-дод1!E158</f>
        <v>0</v>
      </c>
      <c r="F743" s="139">
        <v>1</v>
      </c>
    </row>
    <row r="744" spans="1:6" s="67" customFormat="1" hidden="1" x14ac:dyDescent="0.3">
      <c r="A744" s="221"/>
      <c r="B744" s="245"/>
      <c r="C744" s="246"/>
      <c r="D744" s="246"/>
      <c r="E744" s="273"/>
      <c r="F744" s="139">
        <v>1</v>
      </c>
    </row>
    <row r="745" spans="1:6" hidden="1" x14ac:dyDescent="0.3">
      <c r="C745" s="235"/>
      <c r="D745" s="235"/>
      <c r="E745" s="155"/>
      <c r="F745" s="139">
        <v>1</v>
      </c>
    </row>
    <row r="746" spans="1:6" hidden="1" x14ac:dyDescent="0.3">
      <c r="A746" s="13"/>
      <c r="B746" s="13"/>
      <c r="E746" s="236"/>
      <c r="F746" s="139">
        <v>1</v>
      </c>
    </row>
    <row r="747" spans="1:6" hidden="1" x14ac:dyDescent="0.3">
      <c r="F747" s="139">
        <v>1</v>
      </c>
    </row>
    <row r="748" spans="1:6" hidden="1" x14ac:dyDescent="0.3">
      <c r="B748" s="236" t="s">
        <v>63</v>
      </c>
      <c r="C748" s="235">
        <f>дод1!C158</f>
        <v>3270620</v>
      </c>
      <c r="D748" s="235">
        <f>дод1!D158</f>
        <v>3270620</v>
      </c>
      <c r="E748" s="235">
        <f>дод1!E158</f>
        <v>0</v>
      </c>
      <c r="F748" s="139">
        <v>1</v>
      </c>
    </row>
    <row r="749" spans="1:6" s="228" customFormat="1" hidden="1" x14ac:dyDescent="0.3">
      <c r="A749" s="282"/>
      <c r="B749" s="283" t="s">
        <v>678</v>
      </c>
      <c r="C749" s="284">
        <f>C748-C736</f>
        <v>0</v>
      </c>
      <c r="D749" s="284">
        <f>D748-D736</f>
        <v>0</v>
      </c>
      <c r="E749" s="284">
        <f>E748-E736</f>
        <v>0</v>
      </c>
      <c r="F749" s="139">
        <v>1</v>
      </c>
    </row>
    <row r="750" spans="1:6" hidden="1" x14ac:dyDescent="0.3"/>
    <row r="751" spans="1:6" hidden="1" x14ac:dyDescent="0.3"/>
    <row r="752" spans="1:6"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spans="1:1" hidden="1" x14ac:dyDescent="0.3"/>
    <row r="786" spans="1:1" hidden="1" x14ac:dyDescent="0.3"/>
    <row r="787" spans="1:1" hidden="1" x14ac:dyDescent="0.3"/>
    <row r="788" spans="1:1" hidden="1" x14ac:dyDescent="0.3"/>
    <row r="789" spans="1:1" hidden="1" x14ac:dyDescent="0.3"/>
    <row r="790" spans="1:1" hidden="1" x14ac:dyDescent="0.3"/>
    <row r="791" spans="1:1" hidden="1" x14ac:dyDescent="0.3"/>
    <row r="792" spans="1:1" hidden="1" x14ac:dyDescent="0.3"/>
    <row r="793" spans="1:1" hidden="1" x14ac:dyDescent="0.3"/>
    <row r="794" spans="1:1" hidden="1" x14ac:dyDescent="0.3"/>
    <row r="795" spans="1:1" ht="16.149999999999999" hidden="1" customHeight="1" x14ac:dyDescent="0.3"/>
    <row r="796" spans="1:1" hidden="1" x14ac:dyDescent="0.3"/>
    <row r="797" spans="1:1" hidden="1" x14ac:dyDescent="0.3">
      <c r="A797" s="221"/>
    </row>
    <row r="798" spans="1:1" hidden="1" x14ac:dyDescent="0.3"/>
    <row r="799" spans="1:1" hidden="1" x14ac:dyDescent="0.3"/>
    <row r="800" spans="1:1"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sheetData>
  <autoFilter ref="A1:F796">
    <filterColumn colId="5">
      <customFilters and="1">
        <customFilter operator="greaterThan" val="0"/>
      </customFilters>
    </filterColumn>
  </autoFilter>
  <mergeCells count="67">
    <mergeCell ref="A725:A735"/>
    <mergeCell ref="A637:A647"/>
    <mergeCell ref="A648:A658"/>
    <mergeCell ref="A659:A669"/>
    <mergeCell ref="A670:A680"/>
    <mergeCell ref="A681:A691"/>
    <mergeCell ref="A692:A702"/>
    <mergeCell ref="A593:A603"/>
    <mergeCell ref="A604:A614"/>
    <mergeCell ref="A615:A625"/>
    <mergeCell ref="A626:A636"/>
    <mergeCell ref="A703:A713"/>
    <mergeCell ref="A714:A724"/>
    <mergeCell ref="A527:A537"/>
    <mergeCell ref="A538:A548"/>
    <mergeCell ref="A549:A559"/>
    <mergeCell ref="A560:A570"/>
    <mergeCell ref="A571:A581"/>
    <mergeCell ref="A582:A592"/>
    <mergeCell ref="A461:A471"/>
    <mergeCell ref="A472:A482"/>
    <mergeCell ref="A483:A493"/>
    <mergeCell ref="A494:A504"/>
    <mergeCell ref="A505:A515"/>
    <mergeCell ref="A516:A526"/>
    <mergeCell ref="A395:A405"/>
    <mergeCell ref="A406:A416"/>
    <mergeCell ref="A417:A427"/>
    <mergeCell ref="A428:A438"/>
    <mergeCell ref="A439:A449"/>
    <mergeCell ref="A450:A460"/>
    <mergeCell ref="A329:A339"/>
    <mergeCell ref="A340:A350"/>
    <mergeCell ref="A351:A361"/>
    <mergeCell ref="A362:A372"/>
    <mergeCell ref="A373:A383"/>
    <mergeCell ref="A384:A394"/>
    <mergeCell ref="A263:A273"/>
    <mergeCell ref="A274:A284"/>
    <mergeCell ref="A285:A295"/>
    <mergeCell ref="A296:A306"/>
    <mergeCell ref="A307:A317"/>
    <mergeCell ref="A318:A328"/>
    <mergeCell ref="A197:A207"/>
    <mergeCell ref="A208:A218"/>
    <mergeCell ref="A219:A229"/>
    <mergeCell ref="A230:A240"/>
    <mergeCell ref="A241:A251"/>
    <mergeCell ref="A252:A262"/>
    <mergeCell ref="A131:A141"/>
    <mergeCell ref="A142:A152"/>
    <mergeCell ref="A153:A163"/>
    <mergeCell ref="A164:A174"/>
    <mergeCell ref="A175:A185"/>
    <mergeCell ref="A186:A196"/>
    <mergeCell ref="A65:A75"/>
    <mergeCell ref="A76:A86"/>
    <mergeCell ref="A87:A97"/>
    <mergeCell ref="A98:A108"/>
    <mergeCell ref="A109:A119"/>
    <mergeCell ref="A120:A130"/>
    <mergeCell ref="A4:E4"/>
    <mergeCell ref="A10:A20"/>
    <mergeCell ref="A21:A31"/>
    <mergeCell ref="A32:A42"/>
    <mergeCell ref="A43:A53"/>
    <mergeCell ref="A54:A64"/>
  </mergeCells>
  <printOptions horizontalCentered="1"/>
  <pageMargins left="0.39370078740157483" right="0" top="0.78740157480314965" bottom="0" header="0" footer="0"/>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N801"/>
  <sheetViews>
    <sheetView view="pageBreakPreview" zoomScale="70" zoomScaleNormal="65" zoomScaleSheetLayoutView="70" workbookViewId="0">
      <pane xSplit="2" ySplit="9" topLeftCell="C10" activePane="bottomRight" state="frozen"/>
      <selection pane="topRight" activeCell="C1" sqref="C1"/>
      <selection pane="bottomLeft" activeCell="A8" sqref="A8"/>
      <selection pane="bottomRight" sqref="A1:IV65536"/>
    </sheetView>
  </sheetViews>
  <sheetFormatPr defaultRowHeight="18.75" x14ac:dyDescent="0.3"/>
  <cols>
    <col min="1" max="1" width="27.7109375" style="1539" customWidth="1"/>
    <col min="2" max="2" width="44.28515625" style="1541" customWidth="1"/>
    <col min="3" max="3" width="27.7109375" style="1541" customWidth="1"/>
    <col min="4" max="4" width="15.140625" style="1541" customWidth="1"/>
    <col min="5" max="5" width="27.7109375" style="503" customWidth="1"/>
    <col min="6" max="6" width="27.7109375" style="13" hidden="1" customWidth="1"/>
    <col min="7" max="9" width="0" style="13" hidden="1" customWidth="1"/>
    <col min="10" max="10" width="15.7109375" style="13" hidden="1" customWidth="1"/>
    <col min="11" max="13" width="0" style="13" hidden="1" customWidth="1"/>
    <col min="14" max="16384" width="9.140625" style="1523"/>
  </cols>
  <sheetData>
    <row r="1" spans="1:40" s="1513" customFormat="1" ht="20.25" customHeight="1" x14ac:dyDescent="0.3">
      <c r="A1" s="1596"/>
      <c r="B1" s="1597"/>
      <c r="C1" s="1597"/>
      <c r="D1" s="502" t="s">
        <v>1402</v>
      </c>
      <c r="E1" s="503"/>
      <c r="F1" s="15">
        <v>1</v>
      </c>
      <c r="G1" s="15"/>
      <c r="H1" s="15"/>
      <c r="I1" s="15"/>
      <c r="J1" s="15"/>
      <c r="K1" s="15"/>
      <c r="L1" s="15"/>
      <c r="M1" s="15"/>
      <c r="N1" s="1514"/>
      <c r="O1" s="1514"/>
      <c r="P1" s="1514"/>
      <c r="Q1" s="1514"/>
      <c r="R1" s="1514"/>
      <c r="S1" s="1514"/>
      <c r="T1" s="1514"/>
      <c r="U1" s="1514"/>
      <c r="V1" s="1514"/>
      <c r="W1" s="1514"/>
      <c r="X1" s="1514"/>
      <c r="Y1" s="1514"/>
      <c r="Z1" s="1514"/>
      <c r="AA1" s="1514"/>
      <c r="AB1" s="1514"/>
      <c r="AC1" s="1514"/>
      <c r="AD1" s="1514"/>
      <c r="AE1" s="1514"/>
      <c r="AF1" s="1514"/>
      <c r="AG1" s="1514"/>
      <c r="AH1" s="1514"/>
      <c r="AI1" s="1514"/>
      <c r="AJ1" s="1514"/>
      <c r="AK1" s="1514"/>
      <c r="AL1" s="1514"/>
      <c r="AM1" s="1514"/>
      <c r="AN1" s="1514"/>
    </row>
    <row r="2" spans="1:40" s="1513" customFormat="1" ht="18" customHeight="1" x14ac:dyDescent="0.3">
      <c r="A2" s="1515"/>
      <c r="B2" s="1516"/>
      <c r="C2" s="1516"/>
      <c r="D2" s="502" t="s">
        <v>274</v>
      </c>
      <c r="E2" s="503"/>
      <c r="F2" s="15">
        <v>1</v>
      </c>
      <c r="G2" s="15"/>
      <c r="H2" s="15"/>
      <c r="I2" s="294"/>
      <c r="J2" s="15"/>
      <c r="K2" s="15"/>
      <c r="L2" s="15"/>
      <c r="M2" s="15"/>
      <c r="N2" s="1514"/>
      <c r="O2" s="1514"/>
      <c r="P2" s="1514"/>
      <c r="Q2" s="1514"/>
      <c r="R2" s="1514"/>
      <c r="S2" s="1514"/>
      <c r="T2" s="1514"/>
      <c r="U2" s="1514"/>
      <c r="V2" s="1514"/>
      <c r="W2" s="1514"/>
      <c r="X2" s="1514"/>
      <c r="Y2" s="1514"/>
      <c r="Z2" s="1514"/>
      <c r="AA2" s="1514"/>
      <c r="AB2" s="1514"/>
      <c r="AC2" s="1514"/>
      <c r="AD2" s="1514"/>
      <c r="AE2" s="1514"/>
      <c r="AF2" s="1514"/>
      <c r="AG2" s="1514"/>
      <c r="AH2" s="1514"/>
      <c r="AI2" s="1514"/>
      <c r="AJ2" s="1514"/>
      <c r="AK2" s="1514"/>
      <c r="AL2" s="1514"/>
      <c r="AM2" s="1514"/>
      <c r="AN2" s="1514"/>
    </row>
    <row r="3" spans="1:40" s="1513" customFormat="1" ht="18" customHeight="1" x14ac:dyDescent="0.3">
      <c r="A3" s="1515"/>
      <c r="B3" s="1516"/>
      <c r="C3" s="1516"/>
      <c r="D3" s="502" t="s">
        <v>1417</v>
      </c>
      <c r="E3" s="503"/>
      <c r="F3" s="15">
        <v>1</v>
      </c>
      <c r="G3" s="15"/>
      <c r="H3" s="15"/>
      <c r="I3" s="15"/>
      <c r="J3" s="15"/>
      <c r="K3" s="15"/>
      <c r="L3" s="15"/>
      <c r="M3" s="15"/>
      <c r="N3" s="1514"/>
      <c r="O3" s="1514"/>
      <c r="P3" s="1514"/>
      <c r="Q3" s="1514"/>
      <c r="R3" s="1514"/>
      <c r="S3" s="1514"/>
      <c r="T3" s="1514"/>
      <c r="U3" s="1514"/>
      <c r="V3" s="1514"/>
      <c r="W3" s="1514"/>
      <c r="X3" s="1514"/>
      <c r="Y3" s="1514"/>
      <c r="Z3" s="1514"/>
      <c r="AA3" s="1514"/>
      <c r="AB3" s="1514"/>
      <c r="AC3" s="1514"/>
      <c r="AD3" s="1514"/>
      <c r="AE3" s="1514"/>
      <c r="AF3" s="1514"/>
      <c r="AG3" s="1514"/>
      <c r="AH3" s="1514"/>
      <c r="AI3" s="1514"/>
      <c r="AJ3" s="1514"/>
      <c r="AK3" s="1514"/>
      <c r="AL3" s="1514"/>
      <c r="AM3" s="1514"/>
      <c r="AN3" s="1514"/>
    </row>
    <row r="4" spans="1:40" s="1513" customFormat="1" ht="63.75" customHeight="1" x14ac:dyDescent="0.3">
      <c r="A4" s="1671" t="s">
        <v>1211</v>
      </c>
      <c r="B4" s="1671"/>
      <c r="C4" s="1671"/>
      <c r="D4" s="1671"/>
      <c r="E4" s="1672"/>
      <c r="F4" s="15">
        <v>1</v>
      </c>
      <c r="G4" s="15"/>
      <c r="H4" s="15"/>
      <c r="I4" s="15"/>
      <c r="J4" s="15"/>
      <c r="K4" s="15"/>
      <c r="L4" s="15"/>
      <c r="M4" s="15"/>
      <c r="N4" s="1514"/>
      <c r="O4" s="1514"/>
      <c r="P4" s="1514"/>
      <c r="Q4" s="1514"/>
      <c r="R4" s="1514"/>
      <c r="S4" s="1514"/>
      <c r="T4" s="1514"/>
      <c r="U4" s="1514"/>
      <c r="V4" s="1514"/>
      <c r="W4" s="1514"/>
      <c r="X4" s="1514"/>
      <c r="Y4" s="1514"/>
      <c r="Z4" s="1514"/>
      <c r="AA4" s="1514"/>
      <c r="AB4" s="1514"/>
      <c r="AC4" s="1514"/>
      <c r="AD4" s="1514"/>
      <c r="AE4" s="1514"/>
      <c r="AF4" s="1514"/>
      <c r="AG4" s="1514"/>
      <c r="AH4" s="1514"/>
      <c r="AI4" s="1514"/>
      <c r="AJ4" s="1514"/>
      <c r="AK4" s="1514"/>
      <c r="AL4" s="1514"/>
      <c r="AM4" s="1514"/>
      <c r="AN4" s="1514"/>
    </row>
    <row r="5" spans="1:40" s="1513" customFormat="1" ht="20.25" x14ac:dyDescent="0.3">
      <c r="A5" s="1517" t="s">
        <v>858</v>
      </c>
      <c r="B5" s="1598"/>
      <c r="C5" s="1598"/>
      <c r="D5" s="1598"/>
      <c r="E5" s="1595"/>
      <c r="F5" s="15">
        <v>1</v>
      </c>
      <c r="G5" s="15"/>
      <c r="H5" s="15"/>
      <c r="I5" s="15"/>
      <c r="J5" s="15"/>
      <c r="K5" s="15"/>
      <c r="L5" s="15"/>
      <c r="M5" s="15"/>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c r="AM5" s="1514"/>
      <c r="AN5" s="1514"/>
    </row>
    <row r="6" spans="1:40" s="1513" customFormat="1" ht="20.25" x14ac:dyDescent="0.3">
      <c r="A6" s="1519" t="s">
        <v>856</v>
      </c>
      <c r="B6" s="1598"/>
      <c r="C6" s="1598"/>
      <c r="D6" s="1598"/>
      <c r="E6" s="1595"/>
      <c r="F6" s="15">
        <v>1</v>
      </c>
      <c r="G6" s="15"/>
      <c r="H6" s="15"/>
      <c r="I6" s="15"/>
      <c r="J6" s="15"/>
      <c r="K6" s="15"/>
      <c r="L6" s="15"/>
      <c r="M6" s="15"/>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514"/>
      <c r="AM6" s="1514"/>
      <c r="AN6" s="1514"/>
    </row>
    <row r="7" spans="1:40" ht="16.5" customHeight="1" x14ac:dyDescent="0.3">
      <c r="A7" s="1520"/>
      <c r="B7" s="1522"/>
      <c r="C7" s="1522"/>
      <c r="D7" s="1522"/>
      <c r="E7" s="375" t="s">
        <v>737</v>
      </c>
      <c r="F7" s="13">
        <v>1</v>
      </c>
    </row>
    <row r="8" spans="1:40" ht="54.75" customHeight="1" x14ac:dyDescent="0.3">
      <c r="A8" s="1599" t="s">
        <v>78</v>
      </c>
      <c r="B8" s="504" t="s">
        <v>69</v>
      </c>
      <c r="C8" s="504" t="s">
        <v>739</v>
      </c>
      <c r="D8" s="505" t="s">
        <v>53</v>
      </c>
      <c r="E8" s="505" t="s">
        <v>54</v>
      </c>
      <c r="F8" s="13">
        <v>1</v>
      </c>
    </row>
    <row r="9" spans="1:40" ht="18" customHeight="1" x14ac:dyDescent="0.3">
      <c r="A9" s="814">
        <v>1</v>
      </c>
      <c r="B9" s="815">
        <v>2</v>
      </c>
      <c r="C9" s="815">
        <v>3</v>
      </c>
      <c r="D9" s="504">
        <v>4</v>
      </c>
      <c r="E9" s="505">
        <v>5</v>
      </c>
      <c r="F9" s="13">
        <v>1</v>
      </c>
    </row>
    <row r="10" spans="1:40" s="13" customFormat="1" ht="17.45" hidden="1" customHeight="1" x14ac:dyDescent="0.3">
      <c r="A10" s="1669" t="s">
        <v>1060</v>
      </c>
      <c r="B10" s="506"/>
      <c r="C10" s="466">
        <f t="shared" ref="C10:C19" si="0">SUM(D10:E10)</f>
        <v>0</v>
      </c>
      <c r="D10" s="565"/>
      <c r="E10" s="892"/>
      <c r="F10" s="893">
        <f>SUM(C10:E10)</f>
        <v>0</v>
      </c>
    </row>
    <row r="11" spans="1:40" s="13" customFormat="1" ht="17.45" hidden="1" customHeight="1" x14ac:dyDescent="0.3">
      <c r="A11" s="1667"/>
      <c r="B11" s="506"/>
      <c r="C11" s="466">
        <f t="shared" si="0"/>
        <v>0</v>
      </c>
      <c r="D11" s="565"/>
      <c r="E11" s="892"/>
      <c r="F11" s="893">
        <f t="shared" ref="F11:F74" si="1">SUM(C11:E11)</f>
        <v>0</v>
      </c>
    </row>
    <row r="12" spans="1:40" s="13" customFormat="1" ht="17.45" hidden="1" customHeight="1" x14ac:dyDescent="0.3">
      <c r="A12" s="1667"/>
      <c r="B12" s="306"/>
      <c r="C12" s="466">
        <f t="shared" si="0"/>
        <v>0</v>
      </c>
      <c r="D12" s="466"/>
      <c r="E12" s="599"/>
      <c r="F12" s="893">
        <f t="shared" si="1"/>
        <v>0</v>
      </c>
    </row>
    <row r="13" spans="1:40" s="13" customFormat="1" ht="17.45" hidden="1" customHeight="1" x14ac:dyDescent="0.3">
      <c r="A13" s="1667"/>
      <c r="B13" s="306"/>
      <c r="C13" s="466">
        <f t="shared" si="0"/>
        <v>0</v>
      </c>
      <c r="D13" s="466"/>
      <c r="E13" s="599"/>
      <c r="F13" s="893">
        <f t="shared" si="1"/>
        <v>0</v>
      </c>
    </row>
    <row r="14" spans="1:40" s="13" customFormat="1" ht="17.45" hidden="1" customHeight="1" x14ac:dyDescent="0.3">
      <c r="A14" s="1667"/>
      <c r="B14" s="306"/>
      <c r="C14" s="466">
        <f t="shared" si="0"/>
        <v>0</v>
      </c>
      <c r="D14" s="466"/>
      <c r="E14" s="599"/>
      <c r="F14" s="893">
        <f t="shared" si="1"/>
        <v>0</v>
      </c>
    </row>
    <row r="15" spans="1:40" s="13" customFormat="1" ht="17.45" hidden="1" customHeight="1" x14ac:dyDescent="0.3">
      <c r="A15" s="1667"/>
      <c r="B15" s="306"/>
      <c r="C15" s="466">
        <f t="shared" si="0"/>
        <v>0</v>
      </c>
      <c r="D15" s="466"/>
      <c r="E15" s="599"/>
      <c r="F15" s="893">
        <f t="shared" si="1"/>
        <v>0</v>
      </c>
    </row>
    <row r="16" spans="1:40" s="13" customFormat="1" ht="17.45" hidden="1" customHeight="1" x14ac:dyDescent="0.3">
      <c r="A16" s="1667"/>
      <c r="B16" s="306"/>
      <c r="C16" s="466">
        <f t="shared" si="0"/>
        <v>0</v>
      </c>
      <c r="D16" s="466"/>
      <c r="E16" s="599"/>
      <c r="F16" s="893">
        <f t="shared" si="1"/>
        <v>0</v>
      </c>
    </row>
    <row r="17" spans="1:6" s="13" customFormat="1" ht="17.45" hidden="1" customHeight="1" x14ac:dyDescent="0.3">
      <c r="A17" s="1667"/>
      <c r="B17" s="306"/>
      <c r="C17" s="466">
        <f t="shared" si="0"/>
        <v>0</v>
      </c>
      <c r="D17" s="466"/>
      <c r="E17" s="599"/>
      <c r="F17" s="893">
        <f t="shared" si="1"/>
        <v>0</v>
      </c>
    </row>
    <row r="18" spans="1:6" s="13" customFormat="1" ht="17.45" hidden="1" customHeight="1" x14ac:dyDescent="0.3">
      <c r="A18" s="1667"/>
      <c r="B18" s="306"/>
      <c r="C18" s="466">
        <f t="shared" si="0"/>
        <v>0</v>
      </c>
      <c r="D18" s="466"/>
      <c r="E18" s="599"/>
      <c r="F18" s="893">
        <f t="shared" si="1"/>
        <v>0</v>
      </c>
    </row>
    <row r="19" spans="1:6" s="13" customFormat="1" ht="17.45" hidden="1" customHeight="1" x14ac:dyDescent="0.3">
      <c r="A19" s="1667"/>
      <c r="B19" s="306"/>
      <c r="C19" s="466">
        <f t="shared" si="0"/>
        <v>0</v>
      </c>
      <c r="D19" s="466"/>
      <c r="E19" s="599"/>
      <c r="F19" s="893">
        <f t="shared" si="1"/>
        <v>0</v>
      </c>
    </row>
    <row r="20" spans="1:6" s="13" customFormat="1" ht="18" hidden="1" customHeight="1" x14ac:dyDescent="0.3">
      <c r="A20" s="1673"/>
      <c r="B20" s="306" t="s">
        <v>740</v>
      </c>
      <c r="C20" s="466">
        <f>SUM(C10:C19)</f>
        <v>0</v>
      </c>
      <c r="D20" s="466">
        <f>SUM(D10:D19)</f>
        <v>0</v>
      </c>
      <c r="E20" s="466">
        <f>SUM(E10:E19)</f>
        <v>0</v>
      </c>
      <c r="F20" s="893">
        <f t="shared" si="1"/>
        <v>0</v>
      </c>
    </row>
    <row r="21" spans="1:6" ht="75" x14ac:dyDescent="0.3">
      <c r="A21" s="1674" t="s">
        <v>1069</v>
      </c>
      <c r="B21" s="1066" t="s">
        <v>1801</v>
      </c>
      <c r="C21" s="565">
        <f>D21+E21</f>
        <v>600200</v>
      </c>
      <c r="D21" s="565"/>
      <c r="E21" s="565">
        <f>200000+170000+230200</f>
        <v>600200</v>
      </c>
      <c r="F21" s="893">
        <f t="shared" si="1"/>
        <v>1200400</v>
      </c>
    </row>
    <row r="22" spans="1:6" s="13" customFormat="1" hidden="1" x14ac:dyDescent="0.3">
      <c r="A22" s="1667"/>
      <c r="B22" s="1008"/>
      <c r="C22" s="1329"/>
      <c r="D22" s="1329"/>
      <c r="E22" s="903"/>
      <c r="F22" s="893">
        <f t="shared" si="1"/>
        <v>0</v>
      </c>
    </row>
    <row r="23" spans="1:6" s="13" customFormat="1" hidden="1" x14ac:dyDescent="0.3">
      <c r="A23" s="1667"/>
      <c r="B23" s="306"/>
      <c r="C23" s="466">
        <f t="shared" ref="C23:C30" si="2">SUM(D23:E23)</f>
        <v>0</v>
      </c>
      <c r="D23" s="466"/>
      <c r="E23" s="599"/>
      <c r="F23" s="893">
        <f t="shared" si="1"/>
        <v>0</v>
      </c>
    </row>
    <row r="24" spans="1:6" s="13" customFormat="1" hidden="1" x14ac:dyDescent="0.3">
      <c r="A24" s="1667"/>
      <c r="B24" s="306"/>
      <c r="C24" s="466">
        <f t="shared" si="2"/>
        <v>0</v>
      </c>
      <c r="D24" s="466"/>
      <c r="E24" s="599"/>
      <c r="F24" s="893">
        <f t="shared" si="1"/>
        <v>0</v>
      </c>
    </row>
    <row r="25" spans="1:6" s="13" customFormat="1" hidden="1" x14ac:dyDescent="0.3">
      <c r="A25" s="1667"/>
      <c r="B25" s="306"/>
      <c r="C25" s="466">
        <f t="shared" si="2"/>
        <v>0</v>
      </c>
      <c r="D25" s="466"/>
      <c r="E25" s="599"/>
      <c r="F25" s="893">
        <f t="shared" si="1"/>
        <v>0</v>
      </c>
    </row>
    <row r="26" spans="1:6" s="13" customFormat="1" hidden="1" x14ac:dyDescent="0.3">
      <c r="A26" s="1667"/>
      <c r="B26" s="306"/>
      <c r="C26" s="466">
        <f t="shared" si="2"/>
        <v>0</v>
      </c>
      <c r="D26" s="466"/>
      <c r="E26" s="599"/>
      <c r="F26" s="893">
        <f t="shared" si="1"/>
        <v>0</v>
      </c>
    </row>
    <row r="27" spans="1:6" s="13" customFormat="1" hidden="1" x14ac:dyDescent="0.3">
      <c r="A27" s="1667"/>
      <c r="B27" s="306"/>
      <c r="C27" s="466">
        <f t="shared" si="2"/>
        <v>0</v>
      </c>
      <c r="D27" s="466"/>
      <c r="E27" s="599"/>
      <c r="F27" s="893">
        <f t="shared" si="1"/>
        <v>0</v>
      </c>
    </row>
    <row r="28" spans="1:6" s="13" customFormat="1" hidden="1" x14ac:dyDescent="0.3">
      <c r="A28" s="1667"/>
      <c r="B28" s="306"/>
      <c r="C28" s="466">
        <f t="shared" si="2"/>
        <v>0</v>
      </c>
      <c r="D28" s="466"/>
      <c r="E28" s="599"/>
      <c r="F28" s="893">
        <f t="shared" si="1"/>
        <v>0</v>
      </c>
    </row>
    <row r="29" spans="1:6" s="13" customFormat="1" hidden="1" x14ac:dyDescent="0.3">
      <c r="A29" s="1667"/>
      <c r="B29" s="306"/>
      <c r="C29" s="466">
        <f t="shared" si="2"/>
        <v>0</v>
      </c>
      <c r="D29" s="466"/>
      <c r="E29" s="599"/>
      <c r="F29" s="893">
        <f t="shared" si="1"/>
        <v>0</v>
      </c>
    </row>
    <row r="30" spans="1:6" s="13" customFormat="1" hidden="1" x14ac:dyDescent="0.3">
      <c r="A30" s="1667"/>
      <c r="B30" s="306"/>
      <c r="C30" s="466">
        <f t="shared" si="2"/>
        <v>0</v>
      </c>
      <c r="D30" s="466"/>
      <c r="E30" s="599"/>
      <c r="F30" s="893">
        <f t="shared" si="1"/>
        <v>0</v>
      </c>
    </row>
    <row r="31" spans="1:6" x14ac:dyDescent="0.3">
      <c r="A31" s="1675"/>
      <c r="B31" s="862" t="s">
        <v>740</v>
      </c>
      <c r="C31" s="1438">
        <f>SUM(C21:C30)</f>
        <v>600200</v>
      </c>
      <c r="D31" s="1438">
        <f>SUM(D21:D30)</f>
        <v>0</v>
      </c>
      <c r="E31" s="1438">
        <f>SUM(E21:E30)</f>
        <v>600200</v>
      </c>
      <c r="F31" s="893">
        <f t="shared" si="1"/>
        <v>1200400</v>
      </c>
    </row>
    <row r="32" spans="1:6" s="13" customFormat="1" hidden="1" x14ac:dyDescent="0.3">
      <c r="A32" s="1669" t="s">
        <v>1070</v>
      </c>
      <c r="B32" s="306"/>
      <c r="C32" s="466">
        <f>SUM(D32:E32)</f>
        <v>0</v>
      </c>
      <c r="D32" s="466"/>
      <c r="E32" s="599"/>
      <c r="F32" s="893">
        <f t="shared" si="1"/>
        <v>0</v>
      </c>
    </row>
    <row r="33" spans="1:6" s="13" customFormat="1" hidden="1" x14ac:dyDescent="0.3">
      <c r="A33" s="1667"/>
      <c r="B33" s="306"/>
      <c r="C33" s="466">
        <f t="shared" ref="C33:C41" si="3">SUM(D33:E33)</f>
        <v>0</v>
      </c>
      <c r="D33" s="466"/>
      <c r="E33" s="599"/>
      <c r="F33" s="893">
        <f t="shared" si="1"/>
        <v>0</v>
      </c>
    </row>
    <row r="34" spans="1:6" s="13" customFormat="1" hidden="1" x14ac:dyDescent="0.3">
      <c r="A34" s="1667"/>
      <c r="B34" s="306"/>
      <c r="C34" s="466">
        <f t="shared" si="3"/>
        <v>0</v>
      </c>
      <c r="D34" s="466"/>
      <c r="E34" s="599"/>
      <c r="F34" s="893">
        <f t="shared" si="1"/>
        <v>0</v>
      </c>
    </row>
    <row r="35" spans="1:6" s="13" customFormat="1" hidden="1" x14ac:dyDescent="0.3">
      <c r="A35" s="1667"/>
      <c r="B35" s="306"/>
      <c r="C35" s="466">
        <f t="shared" si="3"/>
        <v>0</v>
      </c>
      <c r="D35" s="466"/>
      <c r="E35" s="599"/>
      <c r="F35" s="893">
        <f t="shared" si="1"/>
        <v>0</v>
      </c>
    </row>
    <row r="36" spans="1:6" s="13" customFormat="1" hidden="1" x14ac:dyDescent="0.3">
      <c r="A36" s="1667"/>
      <c r="B36" s="306"/>
      <c r="C36" s="466">
        <f t="shared" si="3"/>
        <v>0</v>
      </c>
      <c r="D36" s="466"/>
      <c r="E36" s="599"/>
      <c r="F36" s="893">
        <f t="shared" si="1"/>
        <v>0</v>
      </c>
    </row>
    <row r="37" spans="1:6" s="13" customFormat="1" hidden="1" x14ac:dyDescent="0.3">
      <c r="A37" s="1667"/>
      <c r="B37" s="306"/>
      <c r="C37" s="466">
        <f t="shared" si="3"/>
        <v>0</v>
      </c>
      <c r="D37" s="466"/>
      <c r="E37" s="599"/>
      <c r="F37" s="893">
        <f t="shared" si="1"/>
        <v>0</v>
      </c>
    </row>
    <row r="38" spans="1:6" s="13" customFormat="1" hidden="1" x14ac:dyDescent="0.3">
      <c r="A38" s="1667"/>
      <c r="B38" s="306"/>
      <c r="C38" s="466">
        <f t="shared" si="3"/>
        <v>0</v>
      </c>
      <c r="D38" s="466"/>
      <c r="E38" s="599"/>
      <c r="F38" s="893">
        <f t="shared" si="1"/>
        <v>0</v>
      </c>
    </row>
    <row r="39" spans="1:6" s="13" customFormat="1" hidden="1" x14ac:dyDescent="0.3">
      <c r="A39" s="1667"/>
      <c r="B39" s="306"/>
      <c r="C39" s="466">
        <f t="shared" si="3"/>
        <v>0</v>
      </c>
      <c r="D39" s="466"/>
      <c r="E39" s="599"/>
      <c r="F39" s="893">
        <f t="shared" si="1"/>
        <v>0</v>
      </c>
    </row>
    <row r="40" spans="1:6" s="13" customFormat="1" hidden="1" x14ac:dyDescent="0.3">
      <c r="A40" s="1667"/>
      <c r="B40" s="306"/>
      <c r="C40" s="466">
        <f t="shared" si="3"/>
        <v>0</v>
      </c>
      <c r="D40" s="466"/>
      <c r="E40" s="599"/>
      <c r="F40" s="893">
        <f t="shared" si="1"/>
        <v>0</v>
      </c>
    </row>
    <row r="41" spans="1:6" s="13" customFormat="1" hidden="1" x14ac:dyDescent="0.3">
      <c r="A41" s="1667"/>
      <c r="B41" s="306"/>
      <c r="C41" s="466">
        <f t="shared" si="3"/>
        <v>0</v>
      </c>
      <c r="D41" s="466"/>
      <c r="E41" s="599"/>
      <c r="F41" s="893">
        <f t="shared" si="1"/>
        <v>0</v>
      </c>
    </row>
    <row r="42" spans="1:6" s="13" customFormat="1" hidden="1" x14ac:dyDescent="0.3">
      <c r="A42" s="1673"/>
      <c r="B42" s="306" t="s">
        <v>740</v>
      </c>
      <c r="C42" s="466">
        <f>SUM(C32:C41)</f>
        <v>0</v>
      </c>
      <c r="D42" s="466">
        <f>SUM(D32:D41)</f>
        <v>0</v>
      </c>
      <c r="E42" s="466">
        <f>SUM(E32:E41)</f>
        <v>0</v>
      </c>
      <c r="F42" s="893">
        <f t="shared" si="1"/>
        <v>0</v>
      </c>
    </row>
    <row r="43" spans="1:6" s="13" customFormat="1" hidden="1" x14ac:dyDescent="0.3">
      <c r="A43" s="1669" t="s">
        <v>1071</v>
      </c>
      <c r="B43" s="306"/>
      <c r="C43" s="466">
        <f>SUM(D43:E43)</f>
        <v>0</v>
      </c>
      <c r="D43" s="466"/>
      <c r="E43" s="599"/>
      <c r="F43" s="893">
        <f t="shared" si="1"/>
        <v>0</v>
      </c>
    </row>
    <row r="44" spans="1:6" s="13" customFormat="1" hidden="1" x14ac:dyDescent="0.3">
      <c r="A44" s="1667"/>
      <c r="B44" s="306"/>
      <c r="C44" s="466">
        <f t="shared" ref="C44:C52" si="4">SUM(D44:E44)</f>
        <v>0</v>
      </c>
      <c r="D44" s="466"/>
      <c r="E44" s="599"/>
      <c r="F44" s="893">
        <f t="shared" si="1"/>
        <v>0</v>
      </c>
    </row>
    <row r="45" spans="1:6" s="13" customFormat="1" hidden="1" x14ac:dyDescent="0.3">
      <c r="A45" s="1667"/>
      <c r="B45" s="306"/>
      <c r="C45" s="466">
        <f t="shared" si="4"/>
        <v>0</v>
      </c>
      <c r="D45" s="466"/>
      <c r="E45" s="599"/>
      <c r="F45" s="893">
        <f t="shared" si="1"/>
        <v>0</v>
      </c>
    </row>
    <row r="46" spans="1:6" s="13" customFormat="1" hidden="1" x14ac:dyDescent="0.3">
      <c r="A46" s="1667"/>
      <c r="B46" s="306"/>
      <c r="C46" s="466">
        <f t="shared" si="4"/>
        <v>0</v>
      </c>
      <c r="D46" s="466"/>
      <c r="E46" s="599"/>
      <c r="F46" s="893">
        <f t="shared" si="1"/>
        <v>0</v>
      </c>
    </row>
    <row r="47" spans="1:6" s="13" customFormat="1" hidden="1" x14ac:dyDescent="0.3">
      <c r="A47" s="1667"/>
      <c r="B47" s="306"/>
      <c r="C47" s="466">
        <f t="shared" si="4"/>
        <v>0</v>
      </c>
      <c r="D47" s="466"/>
      <c r="E47" s="599"/>
      <c r="F47" s="893">
        <f t="shared" si="1"/>
        <v>0</v>
      </c>
    </row>
    <row r="48" spans="1:6" s="13" customFormat="1" hidden="1" x14ac:dyDescent="0.3">
      <c r="A48" s="1667"/>
      <c r="B48" s="306"/>
      <c r="C48" s="466">
        <f t="shared" si="4"/>
        <v>0</v>
      </c>
      <c r="D48" s="466"/>
      <c r="E48" s="599"/>
      <c r="F48" s="893">
        <f t="shared" si="1"/>
        <v>0</v>
      </c>
    </row>
    <row r="49" spans="1:6" s="13" customFormat="1" hidden="1" x14ac:dyDescent="0.3">
      <c r="A49" s="1667"/>
      <c r="B49" s="306"/>
      <c r="C49" s="466">
        <f t="shared" si="4"/>
        <v>0</v>
      </c>
      <c r="D49" s="466"/>
      <c r="E49" s="599"/>
      <c r="F49" s="893">
        <f t="shared" si="1"/>
        <v>0</v>
      </c>
    </row>
    <row r="50" spans="1:6" s="13" customFormat="1" hidden="1" x14ac:dyDescent="0.3">
      <c r="A50" s="1667"/>
      <c r="B50" s="306"/>
      <c r="C50" s="466">
        <f t="shared" si="4"/>
        <v>0</v>
      </c>
      <c r="D50" s="466"/>
      <c r="E50" s="599"/>
      <c r="F50" s="893">
        <f t="shared" si="1"/>
        <v>0</v>
      </c>
    </row>
    <row r="51" spans="1:6" s="13" customFormat="1" hidden="1" x14ac:dyDescent="0.3">
      <c r="A51" s="1667"/>
      <c r="B51" s="306"/>
      <c r="C51" s="466">
        <f t="shared" si="4"/>
        <v>0</v>
      </c>
      <c r="D51" s="466"/>
      <c r="E51" s="599"/>
      <c r="F51" s="893">
        <f t="shared" si="1"/>
        <v>0</v>
      </c>
    </row>
    <row r="52" spans="1:6" s="13" customFormat="1" hidden="1" x14ac:dyDescent="0.3">
      <c r="A52" s="1667"/>
      <c r="B52" s="306"/>
      <c r="C52" s="466">
        <f t="shared" si="4"/>
        <v>0</v>
      </c>
      <c r="D52" s="466"/>
      <c r="E52" s="599"/>
      <c r="F52" s="893">
        <f t="shared" si="1"/>
        <v>0</v>
      </c>
    </row>
    <row r="53" spans="1:6" s="13" customFormat="1" hidden="1" x14ac:dyDescent="0.3">
      <c r="A53" s="1673"/>
      <c r="B53" s="306" t="s">
        <v>740</v>
      </c>
      <c r="C53" s="466">
        <f>SUM(C43:C52)</f>
        <v>0</v>
      </c>
      <c r="D53" s="466">
        <f>SUM(D43:D52)</f>
        <v>0</v>
      </c>
      <c r="E53" s="466">
        <f>SUM(E43:E52)</f>
        <v>0</v>
      </c>
      <c r="F53" s="893">
        <f t="shared" si="1"/>
        <v>0</v>
      </c>
    </row>
    <row r="54" spans="1:6" s="13" customFormat="1" hidden="1" x14ac:dyDescent="0.3">
      <c r="A54" s="1669" t="s">
        <v>1072</v>
      </c>
      <c r="B54" s="306"/>
      <c r="C54" s="466">
        <f>SUM(D54:E54)</f>
        <v>0</v>
      </c>
      <c r="D54" s="466"/>
      <c r="E54" s="599"/>
      <c r="F54" s="893">
        <f t="shared" si="1"/>
        <v>0</v>
      </c>
    </row>
    <row r="55" spans="1:6" s="13" customFormat="1" hidden="1" x14ac:dyDescent="0.3">
      <c r="A55" s="1667"/>
      <c r="B55" s="306"/>
      <c r="C55" s="466">
        <f t="shared" ref="C55:C63" si="5">SUM(D55:E55)</f>
        <v>0</v>
      </c>
      <c r="D55" s="466"/>
      <c r="E55" s="599"/>
      <c r="F55" s="893">
        <f t="shared" si="1"/>
        <v>0</v>
      </c>
    </row>
    <row r="56" spans="1:6" s="13" customFormat="1" hidden="1" x14ac:dyDescent="0.3">
      <c r="A56" s="1667"/>
      <c r="B56" s="306"/>
      <c r="C56" s="466">
        <f t="shared" si="5"/>
        <v>0</v>
      </c>
      <c r="D56" s="466"/>
      <c r="E56" s="599"/>
      <c r="F56" s="893">
        <f t="shared" si="1"/>
        <v>0</v>
      </c>
    </row>
    <row r="57" spans="1:6" s="13" customFormat="1" hidden="1" x14ac:dyDescent="0.3">
      <c r="A57" s="1667"/>
      <c r="B57" s="306"/>
      <c r="C57" s="466">
        <f t="shared" si="5"/>
        <v>0</v>
      </c>
      <c r="D57" s="466"/>
      <c r="E57" s="599"/>
      <c r="F57" s="893">
        <f t="shared" si="1"/>
        <v>0</v>
      </c>
    </row>
    <row r="58" spans="1:6" s="13" customFormat="1" hidden="1" x14ac:dyDescent="0.3">
      <c r="A58" s="1667"/>
      <c r="B58" s="306"/>
      <c r="C58" s="466">
        <f t="shared" si="5"/>
        <v>0</v>
      </c>
      <c r="D58" s="466"/>
      <c r="E58" s="599"/>
      <c r="F58" s="893">
        <f t="shared" si="1"/>
        <v>0</v>
      </c>
    </row>
    <row r="59" spans="1:6" s="13" customFormat="1" hidden="1" x14ac:dyDescent="0.3">
      <c r="A59" s="1667"/>
      <c r="B59" s="306"/>
      <c r="C59" s="466">
        <f t="shared" si="5"/>
        <v>0</v>
      </c>
      <c r="D59" s="466"/>
      <c r="E59" s="599"/>
      <c r="F59" s="893">
        <f t="shared" si="1"/>
        <v>0</v>
      </c>
    </row>
    <row r="60" spans="1:6" s="13" customFormat="1" hidden="1" x14ac:dyDescent="0.3">
      <c r="A60" s="1667"/>
      <c r="B60" s="306"/>
      <c r="C60" s="466">
        <f t="shared" si="5"/>
        <v>0</v>
      </c>
      <c r="D60" s="466"/>
      <c r="E60" s="599"/>
      <c r="F60" s="893">
        <f t="shared" si="1"/>
        <v>0</v>
      </c>
    </row>
    <row r="61" spans="1:6" s="13" customFormat="1" hidden="1" x14ac:dyDescent="0.3">
      <c r="A61" s="1667"/>
      <c r="B61" s="306"/>
      <c r="C61" s="466">
        <f t="shared" si="5"/>
        <v>0</v>
      </c>
      <c r="D61" s="466"/>
      <c r="E61" s="599"/>
      <c r="F61" s="893">
        <f t="shared" si="1"/>
        <v>0</v>
      </c>
    </row>
    <row r="62" spans="1:6" s="13" customFormat="1" hidden="1" x14ac:dyDescent="0.3">
      <c r="A62" s="1667"/>
      <c r="B62" s="306"/>
      <c r="C62" s="466">
        <f t="shared" si="5"/>
        <v>0</v>
      </c>
      <c r="D62" s="466"/>
      <c r="E62" s="599"/>
      <c r="F62" s="893">
        <f t="shared" si="1"/>
        <v>0</v>
      </c>
    </row>
    <row r="63" spans="1:6" s="13" customFormat="1" hidden="1" x14ac:dyDescent="0.3">
      <c r="A63" s="1667"/>
      <c r="B63" s="306"/>
      <c r="C63" s="466">
        <f t="shared" si="5"/>
        <v>0</v>
      </c>
      <c r="D63" s="466"/>
      <c r="E63" s="599"/>
      <c r="F63" s="893">
        <f t="shared" si="1"/>
        <v>0</v>
      </c>
    </row>
    <row r="64" spans="1:6" s="13" customFormat="1" hidden="1" x14ac:dyDescent="0.3">
      <c r="A64" s="1673"/>
      <c r="B64" s="306" t="s">
        <v>740</v>
      </c>
      <c r="C64" s="466">
        <f>SUM(C54:C63)</f>
        <v>0</v>
      </c>
      <c r="D64" s="466">
        <f>SUM(D54:D63)</f>
        <v>0</v>
      </c>
      <c r="E64" s="466">
        <f>SUM(E54:E63)</f>
        <v>0</v>
      </c>
      <c r="F64" s="893">
        <f t="shared" si="1"/>
        <v>0</v>
      </c>
    </row>
    <row r="65" spans="1:10" ht="150" x14ac:dyDescent="0.3">
      <c r="A65" s="1674" t="s">
        <v>1073</v>
      </c>
      <c r="B65" s="1066" t="s">
        <v>1400</v>
      </c>
      <c r="C65" s="565">
        <f>D65+E65</f>
        <v>51180</v>
      </c>
      <c r="D65" s="565"/>
      <c r="E65" s="892">
        <v>51180</v>
      </c>
      <c r="F65" s="893">
        <f t="shared" si="1"/>
        <v>102360</v>
      </c>
      <c r="J65" s="893"/>
    </row>
    <row r="66" spans="1:10" ht="150" x14ac:dyDescent="0.3">
      <c r="A66" s="1676"/>
      <c r="B66" s="1066" t="s">
        <v>1401</v>
      </c>
      <c r="C66" s="565">
        <f>D66+E66</f>
        <v>5072212</v>
      </c>
      <c r="D66" s="565"/>
      <c r="E66" s="892">
        <f>3572212+1500000</f>
        <v>5072212</v>
      </c>
      <c r="F66" s="893">
        <f t="shared" si="1"/>
        <v>10144424</v>
      </c>
    </row>
    <row r="67" spans="1:10" ht="112.5" x14ac:dyDescent="0.3">
      <c r="A67" s="1676"/>
      <c r="B67" s="506" t="s">
        <v>1839</v>
      </c>
      <c r="C67" s="892">
        <f>D67+E67</f>
        <v>150000</v>
      </c>
      <c r="D67" s="892"/>
      <c r="E67" s="892">
        <v>150000</v>
      </c>
      <c r="F67" s="893">
        <f t="shared" si="1"/>
        <v>300000</v>
      </c>
    </row>
    <row r="68" spans="1:10" s="13" customFormat="1" hidden="1" x14ac:dyDescent="0.3">
      <c r="A68" s="1667"/>
      <c r="B68" s="306"/>
      <c r="C68" s="466">
        <f t="shared" ref="C68:C73" si="6">SUM(D68:E68)</f>
        <v>0</v>
      </c>
      <c r="D68" s="466"/>
      <c r="E68" s="599"/>
      <c r="F68" s="893">
        <f t="shared" si="1"/>
        <v>0</v>
      </c>
    </row>
    <row r="69" spans="1:10" s="13" customFormat="1" hidden="1" x14ac:dyDescent="0.3">
      <c r="A69" s="1667"/>
      <c r="B69" s="306"/>
      <c r="C69" s="466">
        <f t="shared" si="6"/>
        <v>0</v>
      </c>
      <c r="D69" s="466"/>
      <c r="E69" s="599"/>
      <c r="F69" s="893">
        <f t="shared" si="1"/>
        <v>0</v>
      </c>
    </row>
    <row r="70" spans="1:10" s="13" customFormat="1" hidden="1" x14ac:dyDescent="0.3">
      <c r="A70" s="1667"/>
      <c r="B70" s="306"/>
      <c r="C70" s="466">
        <f t="shared" si="6"/>
        <v>0</v>
      </c>
      <c r="D70" s="466"/>
      <c r="E70" s="599"/>
      <c r="F70" s="893">
        <f t="shared" si="1"/>
        <v>0</v>
      </c>
    </row>
    <row r="71" spans="1:10" s="13" customFormat="1" hidden="1" x14ac:dyDescent="0.3">
      <c r="A71" s="1667"/>
      <c r="B71" s="306"/>
      <c r="C71" s="466">
        <f t="shared" si="6"/>
        <v>0</v>
      </c>
      <c r="D71" s="466"/>
      <c r="E71" s="599"/>
      <c r="F71" s="893">
        <f t="shared" si="1"/>
        <v>0</v>
      </c>
    </row>
    <row r="72" spans="1:10" s="13" customFormat="1" hidden="1" x14ac:dyDescent="0.3">
      <c r="A72" s="1667"/>
      <c r="B72" s="306"/>
      <c r="C72" s="466">
        <f t="shared" si="6"/>
        <v>0</v>
      </c>
      <c r="D72" s="466"/>
      <c r="E72" s="599"/>
      <c r="F72" s="893">
        <f t="shared" si="1"/>
        <v>0</v>
      </c>
    </row>
    <row r="73" spans="1:10" s="13" customFormat="1" hidden="1" x14ac:dyDescent="0.3">
      <c r="A73" s="1667"/>
      <c r="B73" s="306"/>
      <c r="C73" s="466">
        <f t="shared" si="6"/>
        <v>0</v>
      </c>
      <c r="D73" s="466"/>
      <c r="E73" s="599"/>
      <c r="F73" s="893">
        <f t="shared" si="1"/>
        <v>0</v>
      </c>
    </row>
    <row r="74" spans="1:10" x14ac:dyDescent="0.3">
      <c r="A74" s="1675"/>
      <c r="B74" s="862" t="s">
        <v>740</v>
      </c>
      <c r="C74" s="1438">
        <f>SUM(C65:C73)</f>
        <v>5273392</v>
      </c>
      <c r="D74" s="1438">
        <f>SUM(D65:D73)</f>
        <v>0</v>
      </c>
      <c r="E74" s="1438">
        <f>SUM(E65:E73)</f>
        <v>5273392</v>
      </c>
      <c r="F74" s="893">
        <f t="shared" si="1"/>
        <v>10546784</v>
      </c>
    </row>
    <row r="75" spans="1:10" s="13" customFormat="1" hidden="1" x14ac:dyDescent="0.3">
      <c r="A75" s="1669" t="s">
        <v>1074</v>
      </c>
      <c r="B75" s="306"/>
      <c r="C75" s="466">
        <f>SUM(D75:E75)</f>
        <v>0</v>
      </c>
      <c r="D75" s="466"/>
      <c r="E75" s="599"/>
      <c r="F75" s="893">
        <f t="shared" ref="F75:F138" si="7">SUM(C75:E75)</f>
        <v>0</v>
      </c>
    </row>
    <row r="76" spans="1:10" s="13" customFormat="1" hidden="1" x14ac:dyDescent="0.3">
      <c r="A76" s="1667"/>
      <c r="B76" s="306"/>
      <c r="C76" s="466">
        <f t="shared" ref="C76:C84" si="8">SUM(D76:E76)</f>
        <v>0</v>
      </c>
      <c r="D76" s="466"/>
      <c r="E76" s="599"/>
      <c r="F76" s="893">
        <f t="shared" si="7"/>
        <v>0</v>
      </c>
    </row>
    <row r="77" spans="1:10" s="13" customFormat="1" hidden="1" x14ac:dyDescent="0.3">
      <c r="A77" s="1667"/>
      <c r="B77" s="306"/>
      <c r="C77" s="466">
        <f t="shared" si="8"/>
        <v>0</v>
      </c>
      <c r="D77" s="466"/>
      <c r="E77" s="599"/>
      <c r="F77" s="893">
        <f t="shared" si="7"/>
        <v>0</v>
      </c>
    </row>
    <row r="78" spans="1:10" s="13" customFormat="1" hidden="1" x14ac:dyDescent="0.3">
      <c r="A78" s="1667"/>
      <c r="B78" s="306"/>
      <c r="C78" s="466">
        <f t="shared" si="8"/>
        <v>0</v>
      </c>
      <c r="D78" s="466"/>
      <c r="E78" s="599"/>
      <c r="F78" s="893">
        <f t="shared" si="7"/>
        <v>0</v>
      </c>
    </row>
    <row r="79" spans="1:10" s="13" customFormat="1" hidden="1" x14ac:dyDescent="0.3">
      <c r="A79" s="1667"/>
      <c r="B79" s="306"/>
      <c r="C79" s="466">
        <f t="shared" si="8"/>
        <v>0</v>
      </c>
      <c r="D79" s="466"/>
      <c r="E79" s="599"/>
      <c r="F79" s="893">
        <f t="shared" si="7"/>
        <v>0</v>
      </c>
    </row>
    <row r="80" spans="1:10" s="13" customFormat="1" hidden="1" x14ac:dyDescent="0.3">
      <c r="A80" s="1667"/>
      <c r="B80" s="306"/>
      <c r="C80" s="466">
        <f t="shared" si="8"/>
        <v>0</v>
      </c>
      <c r="D80" s="466"/>
      <c r="E80" s="599"/>
      <c r="F80" s="893">
        <f t="shared" si="7"/>
        <v>0</v>
      </c>
    </row>
    <row r="81" spans="1:6" s="13" customFormat="1" hidden="1" x14ac:dyDescent="0.3">
      <c r="A81" s="1667"/>
      <c r="B81" s="306"/>
      <c r="C81" s="466">
        <f t="shared" si="8"/>
        <v>0</v>
      </c>
      <c r="D81" s="466"/>
      <c r="E81" s="599"/>
      <c r="F81" s="893">
        <f t="shared" si="7"/>
        <v>0</v>
      </c>
    </row>
    <row r="82" spans="1:6" s="13" customFormat="1" hidden="1" x14ac:dyDescent="0.3">
      <c r="A82" s="1667"/>
      <c r="B82" s="306"/>
      <c r="C82" s="466">
        <f t="shared" si="8"/>
        <v>0</v>
      </c>
      <c r="D82" s="466"/>
      <c r="E82" s="599"/>
      <c r="F82" s="893">
        <f t="shared" si="7"/>
        <v>0</v>
      </c>
    </row>
    <row r="83" spans="1:6" s="13" customFormat="1" hidden="1" x14ac:dyDescent="0.3">
      <c r="A83" s="1667"/>
      <c r="B83" s="306"/>
      <c r="C83" s="466">
        <f t="shared" si="8"/>
        <v>0</v>
      </c>
      <c r="D83" s="466"/>
      <c r="E83" s="599"/>
      <c r="F83" s="893">
        <f t="shared" si="7"/>
        <v>0</v>
      </c>
    </row>
    <row r="84" spans="1:6" s="13" customFormat="1" hidden="1" x14ac:dyDescent="0.3">
      <c r="A84" s="1667"/>
      <c r="B84" s="306"/>
      <c r="C84" s="466">
        <f t="shared" si="8"/>
        <v>0</v>
      </c>
      <c r="D84" s="466"/>
      <c r="E84" s="599"/>
      <c r="F84" s="893">
        <f t="shared" si="7"/>
        <v>0</v>
      </c>
    </row>
    <row r="85" spans="1:6" s="13" customFormat="1" hidden="1" x14ac:dyDescent="0.3">
      <c r="A85" s="1673"/>
      <c r="B85" s="306" t="s">
        <v>740</v>
      </c>
      <c r="C85" s="466">
        <f>SUM(C75:C84)</f>
        <v>0</v>
      </c>
      <c r="D85" s="466">
        <f>SUM(D75:D84)</f>
        <v>0</v>
      </c>
      <c r="E85" s="466">
        <f>SUM(E75:E84)</f>
        <v>0</v>
      </c>
      <c r="F85" s="893">
        <f t="shared" si="7"/>
        <v>0</v>
      </c>
    </row>
    <row r="86" spans="1:6" s="13" customFormat="1" hidden="1" x14ac:dyDescent="0.3">
      <c r="A86" s="1669" t="s">
        <v>1075</v>
      </c>
      <c r="B86" s="306"/>
      <c r="C86" s="466">
        <f>SUM(D86:E86)</f>
        <v>0</v>
      </c>
      <c r="D86" s="466"/>
      <c r="E86" s="599"/>
      <c r="F86" s="893">
        <f t="shared" si="7"/>
        <v>0</v>
      </c>
    </row>
    <row r="87" spans="1:6" s="13" customFormat="1" hidden="1" x14ac:dyDescent="0.3">
      <c r="A87" s="1667"/>
      <c r="B87" s="306"/>
      <c r="C87" s="466">
        <f t="shared" ref="C87:C95" si="9">SUM(D87:E87)</f>
        <v>0</v>
      </c>
      <c r="D87" s="466"/>
      <c r="E87" s="599"/>
      <c r="F87" s="893">
        <f t="shared" si="7"/>
        <v>0</v>
      </c>
    </row>
    <row r="88" spans="1:6" s="13" customFormat="1" hidden="1" x14ac:dyDescent="0.3">
      <c r="A88" s="1667"/>
      <c r="B88" s="306"/>
      <c r="C88" s="466">
        <f t="shared" si="9"/>
        <v>0</v>
      </c>
      <c r="D88" s="466"/>
      <c r="E88" s="599"/>
      <c r="F88" s="893">
        <f t="shared" si="7"/>
        <v>0</v>
      </c>
    </row>
    <row r="89" spans="1:6" s="13" customFormat="1" hidden="1" x14ac:dyDescent="0.3">
      <c r="A89" s="1667"/>
      <c r="B89" s="306"/>
      <c r="C89" s="466">
        <f t="shared" si="9"/>
        <v>0</v>
      </c>
      <c r="D89" s="466"/>
      <c r="E89" s="599"/>
      <c r="F89" s="893">
        <f t="shared" si="7"/>
        <v>0</v>
      </c>
    </row>
    <row r="90" spans="1:6" s="13" customFormat="1" hidden="1" x14ac:dyDescent="0.3">
      <c r="A90" s="1667"/>
      <c r="B90" s="306"/>
      <c r="C90" s="466">
        <f t="shared" si="9"/>
        <v>0</v>
      </c>
      <c r="D90" s="466"/>
      <c r="E90" s="599"/>
      <c r="F90" s="893">
        <f t="shared" si="7"/>
        <v>0</v>
      </c>
    </row>
    <row r="91" spans="1:6" s="13" customFormat="1" hidden="1" x14ac:dyDescent="0.3">
      <c r="A91" s="1667"/>
      <c r="B91" s="306"/>
      <c r="C91" s="466">
        <f t="shared" si="9"/>
        <v>0</v>
      </c>
      <c r="D91" s="466"/>
      <c r="E91" s="599"/>
      <c r="F91" s="893">
        <f t="shared" si="7"/>
        <v>0</v>
      </c>
    </row>
    <row r="92" spans="1:6" s="13" customFormat="1" hidden="1" x14ac:dyDescent="0.3">
      <c r="A92" s="1667"/>
      <c r="B92" s="306"/>
      <c r="C92" s="466">
        <f t="shared" si="9"/>
        <v>0</v>
      </c>
      <c r="D92" s="466"/>
      <c r="E92" s="599"/>
      <c r="F92" s="893">
        <f t="shared" si="7"/>
        <v>0</v>
      </c>
    </row>
    <row r="93" spans="1:6" s="13" customFormat="1" hidden="1" x14ac:dyDescent="0.3">
      <c r="A93" s="1667"/>
      <c r="B93" s="306"/>
      <c r="C93" s="466">
        <f t="shared" si="9"/>
        <v>0</v>
      </c>
      <c r="D93" s="466"/>
      <c r="E93" s="599"/>
      <c r="F93" s="893">
        <f t="shared" si="7"/>
        <v>0</v>
      </c>
    </row>
    <row r="94" spans="1:6" s="13" customFormat="1" hidden="1" x14ac:dyDescent="0.3">
      <c r="A94" s="1667"/>
      <c r="B94" s="306"/>
      <c r="C94" s="466">
        <f t="shared" si="9"/>
        <v>0</v>
      </c>
      <c r="D94" s="466"/>
      <c r="E94" s="599"/>
      <c r="F94" s="893">
        <f t="shared" si="7"/>
        <v>0</v>
      </c>
    </row>
    <row r="95" spans="1:6" s="13" customFormat="1" hidden="1" x14ac:dyDescent="0.3">
      <c r="A95" s="1667"/>
      <c r="B95" s="306"/>
      <c r="C95" s="466">
        <f t="shared" si="9"/>
        <v>0</v>
      </c>
      <c r="D95" s="466"/>
      <c r="E95" s="599"/>
      <c r="F95" s="893">
        <f t="shared" si="7"/>
        <v>0</v>
      </c>
    </row>
    <row r="96" spans="1:6" s="13" customFormat="1" hidden="1" x14ac:dyDescent="0.3">
      <c r="A96" s="1673"/>
      <c r="B96" s="306" t="s">
        <v>740</v>
      </c>
      <c r="C96" s="466">
        <f>SUM(C86:C95)</f>
        <v>0</v>
      </c>
      <c r="D96" s="466">
        <f>SUM(D86:D95)</f>
        <v>0</v>
      </c>
      <c r="E96" s="466">
        <f>SUM(E86:E95)</f>
        <v>0</v>
      </c>
      <c r="F96" s="893">
        <f t="shared" si="7"/>
        <v>0</v>
      </c>
    </row>
    <row r="97" spans="1:6" s="13" customFormat="1" hidden="1" x14ac:dyDescent="0.3">
      <c r="A97" s="1669" t="s">
        <v>1076</v>
      </c>
      <c r="B97" s="306"/>
      <c r="C97" s="466">
        <f>SUM(D97:E97)</f>
        <v>0</v>
      </c>
      <c r="D97" s="466"/>
      <c r="E97" s="599"/>
      <c r="F97" s="893">
        <f t="shared" si="7"/>
        <v>0</v>
      </c>
    </row>
    <row r="98" spans="1:6" s="13" customFormat="1" hidden="1" x14ac:dyDescent="0.3">
      <c r="A98" s="1667"/>
      <c r="B98" s="306"/>
      <c r="C98" s="466">
        <f t="shared" ref="C98:C106" si="10">SUM(D98:E98)</f>
        <v>0</v>
      </c>
      <c r="D98" s="466"/>
      <c r="E98" s="599"/>
      <c r="F98" s="893">
        <f t="shared" si="7"/>
        <v>0</v>
      </c>
    </row>
    <row r="99" spans="1:6" s="13" customFormat="1" hidden="1" x14ac:dyDescent="0.3">
      <c r="A99" s="1667"/>
      <c r="B99" s="306"/>
      <c r="C99" s="466">
        <f t="shared" si="10"/>
        <v>0</v>
      </c>
      <c r="D99" s="466"/>
      <c r="E99" s="599"/>
      <c r="F99" s="893">
        <f t="shared" si="7"/>
        <v>0</v>
      </c>
    </row>
    <row r="100" spans="1:6" s="13" customFormat="1" hidden="1" x14ac:dyDescent="0.3">
      <c r="A100" s="1667"/>
      <c r="B100" s="306"/>
      <c r="C100" s="466">
        <f t="shared" si="10"/>
        <v>0</v>
      </c>
      <c r="D100" s="466"/>
      <c r="E100" s="599"/>
      <c r="F100" s="893">
        <f t="shared" si="7"/>
        <v>0</v>
      </c>
    </row>
    <row r="101" spans="1:6" s="13" customFormat="1" hidden="1" x14ac:dyDescent="0.3">
      <c r="A101" s="1667"/>
      <c r="B101" s="306"/>
      <c r="C101" s="466">
        <f t="shared" si="10"/>
        <v>0</v>
      </c>
      <c r="D101" s="466"/>
      <c r="E101" s="599"/>
      <c r="F101" s="893">
        <f t="shared" si="7"/>
        <v>0</v>
      </c>
    </row>
    <row r="102" spans="1:6" s="13" customFormat="1" hidden="1" x14ac:dyDescent="0.3">
      <c r="A102" s="1667"/>
      <c r="B102" s="306"/>
      <c r="C102" s="466">
        <f t="shared" si="10"/>
        <v>0</v>
      </c>
      <c r="D102" s="466"/>
      <c r="E102" s="599"/>
      <c r="F102" s="893">
        <f t="shared" si="7"/>
        <v>0</v>
      </c>
    </row>
    <row r="103" spans="1:6" s="13" customFormat="1" hidden="1" x14ac:dyDescent="0.3">
      <c r="A103" s="1667"/>
      <c r="B103" s="306"/>
      <c r="C103" s="466">
        <f t="shared" si="10"/>
        <v>0</v>
      </c>
      <c r="D103" s="466"/>
      <c r="E103" s="599"/>
      <c r="F103" s="893">
        <f t="shared" si="7"/>
        <v>0</v>
      </c>
    </row>
    <row r="104" spans="1:6" s="13" customFormat="1" hidden="1" x14ac:dyDescent="0.3">
      <c r="A104" s="1667"/>
      <c r="B104" s="306"/>
      <c r="C104" s="466">
        <f t="shared" si="10"/>
        <v>0</v>
      </c>
      <c r="D104" s="466"/>
      <c r="E104" s="599"/>
      <c r="F104" s="893">
        <f t="shared" si="7"/>
        <v>0</v>
      </c>
    </row>
    <row r="105" spans="1:6" s="13" customFormat="1" hidden="1" x14ac:dyDescent="0.3">
      <c r="A105" s="1667"/>
      <c r="B105" s="306"/>
      <c r="C105" s="466">
        <f t="shared" si="10"/>
        <v>0</v>
      </c>
      <c r="D105" s="466"/>
      <c r="E105" s="599"/>
      <c r="F105" s="893">
        <f t="shared" si="7"/>
        <v>0</v>
      </c>
    </row>
    <row r="106" spans="1:6" s="13" customFormat="1" hidden="1" x14ac:dyDescent="0.3">
      <c r="A106" s="1667"/>
      <c r="B106" s="306"/>
      <c r="C106" s="466">
        <f t="shared" si="10"/>
        <v>0</v>
      </c>
      <c r="D106" s="466"/>
      <c r="E106" s="599"/>
      <c r="F106" s="893">
        <f t="shared" si="7"/>
        <v>0</v>
      </c>
    </row>
    <row r="107" spans="1:6" s="13" customFormat="1" hidden="1" x14ac:dyDescent="0.3">
      <c r="A107" s="1673"/>
      <c r="B107" s="306" t="s">
        <v>740</v>
      </c>
      <c r="C107" s="466">
        <f>SUM(C97:C106)</f>
        <v>0</v>
      </c>
      <c r="D107" s="466">
        <f>SUM(D97:D106)</f>
        <v>0</v>
      </c>
      <c r="E107" s="466">
        <f>SUM(E97:E106)</f>
        <v>0</v>
      </c>
      <c r="F107" s="893">
        <f t="shared" si="7"/>
        <v>0</v>
      </c>
    </row>
    <row r="108" spans="1:6" s="13" customFormat="1" hidden="1" x14ac:dyDescent="0.3">
      <c r="A108" s="1669" t="s">
        <v>1077</v>
      </c>
      <c r="B108" s="306"/>
      <c r="C108" s="466">
        <f>SUM(D108:E108)</f>
        <v>0</v>
      </c>
      <c r="D108" s="466"/>
      <c r="E108" s="599"/>
      <c r="F108" s="893">
        <f t="shared" si="7"/>
        <v>0</v>
      </c>
    </row>
    <row r="109" spans="1:6" s="13" customFormat="1" hidden="1" x14ac:dyDescent="0.3">
      <c r="A109" s="1667"/>
      <c r="B109" s="306"/>
      <c r="C109" s="466">
        <f t="shared" ref="C109:C117" si="11">SUM(D109:E109)</f>
        <v>0</v>
      </c>
      <c r="D109" s="466"/>
      <c r="E109" s="599"/>
      <c r="F109" s="893">
        <f t="shared" si="7"/>
        <v>0</v>
      </c>
    </row>
    <row r="110" spans="1:6" s="13" customFormat="1" hidden="1" x14ac:dyDescent="0.3">
      <c r="A110" s="1667"/>
      <c r="B110" s="306"/>
      <c r="C110" s="466">
        <f t="shared" si="11"/>
        <v>0</v>
      </c>
      <c r="D110" s="466"/>
      <c r="E110" s="599"/>
      <c r="F110" s="893">
        <f t="shared" si="7"/>
        <v>0</v>
      </c>
    </row>
    <row r="111" spans="1:6" s="13" customFormat="1" hidden="1" x14ac:dyDescent="0.3">
      <c r="A111" s="1667"/>
      <c r="B111" s="306"/>
      <c r="C111" s="466">
        <f t="shared" si="11"/>
        <v>0</v>
      </c>
      <c r="D111" s="466"/>
      <c r="E111" s="599"/>
      <c r="F111" s="893">
        <f t="shared" si="7"/>
        <v>0</v>
      </c>
    </row>
    <row r="112" spans="1:6" s="13" customFormat="1" hidden="1" x14ac:dyDescent="0.3">
      <c r="A112" s="1667"/>
      <c r="B112" s="306"/>
      <c r="C112" s="466">
        <f t="shared" si="11"/>
        <v>0</v>
      </c>
      <c r="D112" s="466"/>
      <c r="E112" s="599"/>
      <c r="F112" s="893">
        <f t="shared" si="7"/>
        <v>0</v>
      </c>
    </row>
    <row r="113" spans="1:6" s="13" customFormat="1" hidden="1" x14ac:dyDescent="0.3">
      <c r="A113" s="1667"/>
      <c r="B113" s="306"/>
      <c r="C113" s="466">
        <f t="shared" si="11"/>
        <v>0</v>
      </c>
      <c r="D113" s="466"/>
      <c r="E113" s="599"/>
      <c r="F113" s="893">
        <f t="shared" si="7"/>
        <v>0</v>
      </c>
    </row>
    <row r="114" spans="1:6" s="13" customFormat="1" hidden="1" x14ac:dyDescent="0.3">
      <c r="A114" s="1667"/>
      <c r="B114" s="306"/>
      <c r="C114" s="466">
        <f t="shared" si="11"/>
        <v>0</v>
      </c>
      <c r="D114" s="466"/>
      <c r="E114" s="599"/>
      <c r="F114" s="893">
        <f t="shared" si="7"/>
        <v>0</v>
      </c>
    </row>
    <row r="115" spans="1:6" s="13" customFormat="1" hidden="1" x14ac:dyDescent="0.3">
      <c r="A115" s="1667"/>
      <c r="B115" s="306"/>
      <c r="C115" s="466">
        <f t="shared" si="11"/>
        <v>0</v>
      </c>
      <c r="D115" s="466"/>
      <c r="E115" s="599"/>
      <c r="F115" s="893">
        <f t="shared" si="7"/>
        <v>0</v>
      </c>
    </row>
    <row r="116" spans="1:6" s="13" customFormat="1" hidden="1" x14ac:dyDescent="0.3">
      <c r="A116" s="1667"/>
      <c r="B116" s="306"/>
      <c r="C116" s="466">
        <f t="shared" si="11"/>
        <v>0</v>
      </c>
      <c r="D116" s="466"/>
      <c r="E116" s="599"/>
      <c r="F116" s="893">
        <f t="shared" si="7"/>
        <v>0</v>
      </c>
    </row>
    <row r="117" spans="1:6" s="13" customFormat="1" hidden="1" x14ac:dyDescent="0.3">
      <c r="A117" s="1667"/>
      <c r="B117" s="306"/>
      <c r="C117" s="466">
        <f t="shared" si="11"/>
        <v>0</v>
      </c>
      <c r="D117" s="466"/>
      <c r="E117" s="599"/>
      <c r="F117" s="893">
        <f t="shared" si="7"/>
        <v>0</v>
      </c>
    </row>
    <row r="118" spans="1:6" s="13" customFormat="1" hidden="1" x14ac:dyDescent="0.3">
      <c r="A118" s="1673"/>
      <c r="B118" s="306" t="s">
        <v>740</v>
      </c>
      <c r="C118" s="466">
        <f>SUM(C108:C117)</f>
        <v>0</v>
      </c>
      <c r="D118" s="466">
        <f>SUM(D108:D117)</f>
        <v>0</v>
      </c>
      <c r="E118" s="466">
        <f>SUM(E108:E117)</f>
        <v>0</v>
      </c>
      <c r="F118" s="893">
        <f t="shared" si="7"/>
        <v>0</v>
      </c>
    </row>
    <row r="119" spans="1:6" s="13" customFormat="1" hidden="1" x14ac:dyDescent="0.3">
      <c r="A119" s="1669" t="s">
        <v>1078</v>
      </c>
      <c r="B119" s="306"/>
      <c r="C119" s="466">
        <f>SUM(D119:E119)</f>
        <v>0</v>
      </c>
      <c r="D119" s="466"/>
      <c r="E119" s="599"/>
      <c r="F119" s="893">
        <f t="shared" si="7"/>
        <v>0</v>
      </c>
    </row>
    <row r="120" spans="1:6" s="13" customFormat="1" hidden="1" x14ac:dyDescent="0.3">
      <c r="A120" s="1667"/>
      <c r="B120" s="306"/>
      <c r="C120" s="466">
        <f t="shared" ref="C120:C128" si="12">SUM(D120:E120)</f>
        <v>0</v>
      </c>
      <c r="D120" s="466"/>
      <c r="E120" s="599"/>
      <c r="F120" s="893">
        <f t="shared" si="7"/>
        <v>0</v>
      </c>
    </row>
    <row r="121" spans="1:6" s="13" customFormat="1" hidden="1" x14ac:dyDescent="0.3">
      <c r="A121" s="1667"/>
      <c r="B121" s="306"/>
      <c r="C121" s="466">
        <f t="shared" si="12"/>
        <v>0</v>
      </c>
      <c r="D121" s="466"/>
      <c r="E121" s="599"/>
      <c r="F121" s="893">
        <f t="shared" si="7"/>
        <v>0</v>
      </c>
    </row>
    <row r="122" spans="1:6" s="13" customFormat="1" hidden="1" x14ac:dyDescent="0.3">
      <c r="A122" s="1667"/>
      <c r="B122" s="306"/>
      <c r="C122" s="466">
        <f t="shared" si="12"/>
        <v>0</v>
      </c>
      <c r="D122" s="466"/>
      <c r="E122" s="599"/>
      <c r="F122" s="893">
        <f t="shared" si="7"/>
        <v>0</v>
      </c>
    </row>
    <row r="123" spans="1:6" s="13" customFormat="1" hidden="1" x14ac:dyDescent="0.3">
      <c r="A123" s="1667"/>
      <c r="B123" s="306"/>
      <c r="C123" s="466">
        <f t="shared" si="12"/>
        <v>0</v>
      </c>
      <c r="D123" s="466"/>
      <c r="E123" s="599"/>
      <c r="F123" s="893">
        <f t="shared" si="7"/>
        <v>0</v>
      </c>
    </row>
    <row r="124" spans="1:6" s="13" customFormat="1" hidden="1" x14ac:dyDescent="0.3">
      <c r="A124" s="1667"/>
      <c r="B124" s="306"/>
      <c r="C124" s="466">
        <f t="shared" si="12"/>
        <v>0</v>
      </c>
      <c r="D124" s="466"/>
      <c r="E124" s="599"/>
      <c r="F124" s="893">
        <f t="shared" si="7"/>
        <v>0</v>
      </c>
    </row>
    <row r="125" spans="1:6" s="13" customFormat="1" hidden="1" x14ac:dyDescent="0.3">
      <c r="A125" s="1667"/>
      <c r="B125" s="306"/>
      <c r="C125" s="466">
        <f t="shared" si="12"/>
        <v>0</v>
      </c>
      <c r="D125" s="466"/>
      <c r="E125" s="599"/>
      <c r="F125" s="893">
        <f t="shared" si="7"/>
        <v>0</v>
      </c>
    </row>
    <row r="126" spans="1:6" s="13" customFormat="1" hidden="1" x14ac:dyDescent="0.3">
      <c r="A126" s="1667"/>
      <c r="B126" s="306"/>
      <c r="C126" s="466">
        <f t="shared" si="12"/>
        <v>0</v>
      </c>
      <c r="D126" s="466"/>
      <c r="E126" s="599"/>
      <c r="F126" s="893">
        <f t="shared" si="7"/>
        <v>0</v>
      </c>
    </row>
    <row r="127" spans="1:6" s="13" customFormat="1" hidden="1" x14ac:dyDescent="0.3">
      <c r="A127" s="1667"/>
      <c r="B127" s="306"/>
      <c r="C127" s="466">
        <f t="shared" si="12"/>
        <v>0</v>
      </c>
      <c r="D127" s="466"/>
      <c r="E127" s="599"/>
      <c r="F127" s="893">
        <f t="shared" si="7"/>
        <v>0</v>
      </c>
    </row>
    <row r="128" spans="1:6" s="13" customFormat="1" hidden="1" x14ac:dyDescent="0.3">
      <c r="A128" s="1667"/>
      <c r="B128" s="306"/>
      <c r="C128" s="466">
        <f t="shared" si="12"/>
        <v>0</v>
      </c>
      <c r="D128" s="466"/>
      <c r="E128" s="599"/>
      <c r="F128" s="893">
        <f t="shared" si="7"/>
        <v>0</v>
      </c>
    </row>
    <row r="129" spans="1:6" s="13" customFormat="1" hidden="1" x14ac:dyDescent="0.3">
      <c r="A129" s="1673"/>
      <c r="B129" s="306" t="s">
        <v>740</v>
      </c>
      <c r="C129" s="466">
        <f>SUM(C119:C128)</f>
        <v>0</v>
      </c>
      <c r="D129" s="466">
        <f>SUM(D119:D128)</f>
        <v>0</v>
      </c>
      <c r="E129" s="466">
        <f>SUM(E119:E128)</f>
        <v>0</v>
      </c>
      <c r="F129" s="893">
        <f t="shared" si="7"/>
        <v>0</v>
      </c>
    </row>
    <row r="130" spans="1:6" s="13" customFormat="1" hidden="1" x14ac:dyDescent="0.3">
      <c r="A130" s="1669" t="s">
        <v>1079</v>
      </c>
      <c r="B130" s="306"/>
      <c r="C130" s="466">
        <f>SUM(D130:E130)</f>
        <v>0</v>
      </c>
      <c r="D130" s="466"/>
      <c r="E130" s="599"/>
      <c r="F130" s="893">
        <f t="shared" si="7"/>
        <v>0</v>
      </c>
    </row>
    <row r="131" spans="1:6" s="13" customFormat="1" hidden="1" x14ac:dyDescent="0.3">
      <c r="A131" s="1667"/>
      <c r="B131" s="306"/>
      <c r="C131" s="466">
        <f t="shared" ref="C131:C139" si="13">SUM(D131:E131)</f>
        <v>0</v>
      </c>
      <c r="D131" s="466"/>
      <c r="E131" s="599"/>
      <c r="F131" s="893">
        <f t="shared" si="7"/>
        <v>0</v>
      </c>
    </row>
    <row r="132" spans="1:6" s="13" customFormat="1" hidden="1" x14ac:dyDescent="0.3">
      <c r="A132" s="1667"/>
      <c r="B132" s="306"/>
      <c r="C132" s="466">
        <f t="shared" si="13"/>
        <v>0</v>
      </c>
      <c r="D132" s="466"/>
      <c r="E132" s="599"/>
      <c r="F132" s="893">
        <f t="shared" si="7"/>
        <v>0</v>
      </c>
    </row>
    <row r="133" spans="1:6" s="13" customFormat="1" hidden="1" x14ac:dyDescent="0.3">
      <c r="A133" s="1667"/>
      <c r="B133" s="306"/>
      <c r="C133" s="466">
        <f t="shared" si="13"/>
        <v>0</v>
      </c>
      <c r="D133" s="466"/>
      <c r="E133" s="599"/>
      <c r="F133" s="893">
        <f t="shared" si="7"/>
        <v>0</v>
      </c>
    </row>
    <row r="134" spans="1:6" s="13" customFormat="1" hidden="1" x14ac:dyDescent="0.3">
      <c r="A134" s="1667"/>
      <c r="B134" s="306"/>
      <c r="C134" s="466">
        <f t="shared" si="13"/>
        <v>0</v>
      </c>
      <c r="D134" s="466"/>
      <c r="E134" s="599"/>
      <c r="F134" s="893">
        <f t="shared" si="7"/>
        <v>0</v>
      </c>
    </row>
    <row r="135" spans="1:6" s="13" customFormat="1" hidden="1" x14ac:dyDescent="0.3">
      <c r="A135" s="1667"/>
      <c r="B135" s="306"/>
      <c r="C135" s="466">
        <f t="shared" si="13"/>
        <v>0</v>
      </c>
      <c r="D135" s="466"/>
      <c r="E135" s="599"/>
      <c r="F135" s="893">
        <f t="shared" si="7"/>
        <v>0</v>
      </c>
    </row>
    <row r="136" spans="1:6" s="13" customFormat="1" hidden="1" x14ac:dyDescent="0.3">
      <c r="A136" s="1667"/>
      <c r="B136" s="306"/>
      <c r="C136" s="466">
        <f t="shared" si="13"/>
        <v>0</v>
      </c>
      <c r="D136" s="466"/>
      <c r="E136" s="599"/>
      <c r="F136" s="893">
        <f t="shared" si="7"/>
        <v>0</v>
      </c>
    </row>
    <row r="137" spans="1:6" s="13" customFormat="1" hidden="1" x14ac:dyDescent="0.3">
      <c r="A137" s="1667"/>
      <c r="B137" s="306"/>
      <c r="C137" s="466">
        <f t="shared" si="13"/>
        <v>0</v>
      </c>
      <c r="D137" s="466"/>
      <c r="E137" s="599"/>
      <c r="F137" s="893">
        <f t="shared" si="7"/>
        <v>0</v>
      </c>
    </row>
    <row r="138" spans="1:6" s="13" customFormat="1" hidden="1" x14ac:dyDescent="0.3">
      <c r="A138" s="1667"/>
      <c r="B138" s="306"/>
      <c r="C138" s="466">
        <f t="shared" si="13"/>
        <v>0</v>
      </c>
      <c r="D138" s="466"/>
      <c r="E138" s="599"/>
      <c r="F138" s="893">
        <f t="shared" si="7"/>
        <v>0</v>
      </c>
    </row>
    <row r="139" spans="1:6" s="13" customFormat="1" hidden="1" x14ac:dyDescent="0.3">
      <c r="A139" s="1667"/>
      <c r="B139" s="306"/>
      <c r="C139" s="466">
        <f t="shared" si="13"/>
        <v>0</v>
      </c>
      <c r="D139" s="466"/>
      <c r="E139" s="599"/>
      <c r="F139" s="893">
        <f t="shared" ref="F139:F202" si="14">SUM(C139:E139)</f>
        <v>0</v>
      </c>
    </row>
    <row r="140" spans="1:6" s="13" customFormat="1" hidden="1" x14ac:dyDescent="0.3">
      <c r="A140" s="1673"/>
      <c r="B140" s="306" t="s">
        <v>740</v>
      </c>
      <c r="C140" s="466">
        <f>SUM(C130:C139)</f>
        <v>0</v>
      </c>
      <c r="D140" s="466">
        <f>SUM(D130:D139)</f>
        <v>0</v>
      </c>
      <c r="E140" s="466">
        <f>SUM(E130:E139)</f>
        <v>0</v>
      </c>
      <c r="F140" s="893">
        <f t="shared" si="14"/>
        <v>0</v>
      </c>
    </row>
    <row r="141" spans="1:6" ht="93.75" x14ac:dyDescent="0.3">
      <c r="A141" s="1674" t="s">
        <v>1080</v>
      </c>
      <c r="B141" s="1066" t="s">
        <v>1391</v>
      </c>
      <c r="C141" s="565">
        <f>SUM(D141:E141)</f>
        <v>531750</v>
      </c>
      <c r="D141" s="565"/>
      <c r="E141" s="892">
        <v>531750</v>
      </c>
      <c r="F141" s="893">
        <f t="shared" si="14"/>
        <v>1063500</v>
      </c>
    </row>
    <row r="142" spans="1:6" ht="112.5" x14ac:dyDescent="0.3">
      <c r="A142" s="1676"/>
      <c r="B142" s="1066" t="s">
        <v>1425</v>
      </c>
      <c r="C142" s="565">
        <f>D142+E142</f>
        <v>3000000</v>
      </c>
      <c r="D142" s="565"/>
      <c r="E142" s="586">
        <f>1500000+1500000</f>
        <v>3000000</v>
      </c>
      <c r="F142" s="893">
        <f t="shared" si="14"/>
        <v>6000000</v>
      </c>
    </row>
    <row r="143" spans="1:6" s="13" customFormat="1" hidden="1" x14ac:dyDescent="0.3">
      <c r="A143" s="1667"/>
      <c r="B143" s="1309"/>
      <c r="C143" s="1323"/>
      <c r="D143" s="1323"/>
      <c r="E143" s="1323"/>
      <c r="F143" s="893">
        <f t="shared" si="14"/>
        <v>0</v>
      </c>
    </row>
    <row r="144" spans="1:6" s="13" customFormat="1" hidden="1" x14ac:dyDescent="0.3">
      <c r="A144" s="1667"/>
      <c r="B144" s="306"/>
      <c r="C144" s="466">
        <f t="shared" ref="C144:C150" si="15">SUM(D144:E144)</f>
        <v>0</v>
      </c>
      <c r="D144" s="466"/>
      <c r="E144" s="599"/>
      <c r="F144" s="893">
        <f t="shared" si="14"/>
        <v>0</v>
      </c>
    </row>
    <row r="145" spans="1:6" s="13" customFormat="1" hidden="1" x14ac:dyDescent="0.3">
      <c r="A145" s="1667"/>
      <c r="B145" s="306"/>
      <c r="C145" s="466">
        <f t="shared" si="15"/>
        <v>0</v>
      </c>
      <c r="D145" s="466"/>
      <c r="E145" s="599"/>
      <c r="F145" s="893">
        <f t="shared" si="14"/>
        <v>0</v>
      </c>
    </row>
    <row r="146" spans="1:6" s="13" customFormat="1" hidden="1" x14ac:dyDescent="0.3">
      <c r="A146" s="1667"/>
      <c r="B146" s="306"/>
      <c r="C146" s="466">
        <f t="shared" si="15"/>
        <v>0</v>
      </c>
      <c r="D146" s="466"/>
      <c r="E146" s="599"/>
      <c r="F146" s="893">
        <f t="shared" si="14"/>
        <v>0</v>
      </c>
    </row>
    <row r="147" spans="1:6" s="13" customFormat="1" hidden="1" x14ac:dyDescent="0.3">
      <c r="A147" s="1667"/>
      <c r="B147" s="306"/>
      <c r="C147" s="466">
        <f t="shared" si="15"/>
        <v>0</v>
      </c>
      <c r="D147" s="466"/>
      <c r="E147" s="599"/>
      <c r="F147" s="893">
        <f t="shared" si="14"/>
        <v>0</v>
      </c>
    </row>
    <row r="148" spans="1:6" s="13" customFormat="1" hidden="1" x14ac:dyDescent="0.3">
      <c r="A148" s="1667"/>
      <c r="B148" s="306"/>
      <c r="C148" s="466">
        <f t="shared" si="15"/>
        <v>0</v>
      </c>
      <c r="D148" s="466"/>
      <c r="E148" s="599"/>
      <c r="F148" s="893">
        <f t="shared" si="14"/>
        <v>0</v>
      </c>
    </row>
    <row r="149" spans="1:6" s="13" customFormat="1" hidden="1" x14ac:dyDescent="0.3">
      <c r="A149" s="1667"/>
      <c r="B149" s="306"/>
      <c r="C149" s="466">
        <f t="shared" si="15"/>
        <v>0</v>
      </c>
      <c r="D149" s="466"/>
      <c r="E149" s="599"/>
      <c r="F149" s="893">
        <f t="shared" si="14"/>
        <v>0</v>
      </c>
    </row>
    <row r="150" spans="1:6" s="13" customFormat="1" hidden="1" x14ac:dyDescent="0.3">
      <c r="A150" s="1667"/>
      <c r="B150" s="306"/>
      <c r="C150" s="466">
        <f t="shared" si="15"/>
        <v>0</v>
      </c>
      <c r="D150" s="466"/>
      <c r="E150" s="599"/>
      <c r="F150" s="893">
        <f t="shared" si="14"/>
        <v>0</v>
      </c>
    </row>
    <row r="151" spans="1:6" x14ac:dyDescent="0.3">
      <c r="A151" s="1675"/>
      <c r="B151" s="862" t="s">
        <v>740</v>
      </c>
      <c r="C151" s="1438">
        <f>SUM(C141:C150)</f>
        <v>3531750</v>
      </c>
      <c r="D151" s="1438">
        <f>SUM(D141:D150)</f>
        <v>0</v>
      </c>
      <c r="E151" s="1438">
        <f>SUM(E141:E150)</f>
        <v>3531750</v>
      </c>
      <c r="F151" s="893">
        <f t="shared" si="14"/>
        <v>7063500</v>
      </c>
    </row>
    <row r="152" spans="1:6" s="13" customFormat="1" hidden="1" x14ac:dyDescent="0.3">
      <c r="A152" s="1669" t="s">
        <v>1081</v>
      </c>
      <c r="B152" s="306"/>
      <c r="C152" s="466">
        <f>SUM(D152:E152)</f>
        <v>0</v>
      </c>
      <c r="D152" s="466"/>
      <c r="E152" s="599"/>
      <c r="F152" s="893">
        <f t="shared" si="14"/>
        <v>0</v>
      </c>
    </row>
    <row r="153" spans="1:6" s="13" customFormat="1" hidden="1" x14ac:dyDescent="0.3">
      <c r="A153" s="1667"/>
      <c r="B153" s="306"/>
      <c r="C153" s="466">
        <f t="shared" ref="C153:C161" si="16">SUM(D153:E153)</f>
        <v>0</v>
      </c>
      <c r="D153" s="466"/>
      <c r="E153" s="599"/>
      <c r="F153" s="893">
        <f t="shared" si="14"/>
        <v>0</v>
      </c>
    </row>
    <row r="154" spans="1:6" s="13" customFormat="1" hidden="1" x14ac:dyDescent="0.3">
      <c r="A154" s="1667"/>
      <c r="B154" s="306"/>
      <c r="C154" s="466">
        <f t="shared" si="16"/>
        <v>0</v>
      </c>
      <c r="D154" s="466"/>
      <c r="E154" s="599"/>
      <c r="F154" s="893">
        <f t="shared" si="14"/>
        <v>0</v>
      </c>
    </row>
    <row r="155" spans="1:6" s="13" customFormat="1" hidden="1" x14ac:dyDescent="0.3">
      <c r="A155" s="1667"/>
      <c r="B155" s="306"/>
      <c r="C155" s="466">
        <f t="shared" si="16"/>
        <v>0</v>
      </c>
      <c r="D155" s="466"/>
      <c r="E155" s="599"/>
      <c r="F155" s="893">
        <f t="shared" si="14"/>
        <v>0</v>
      </c>
    </row>
    <row r="156" spans="1:6" s="13" customFormat="1" hidden="1" x14ac:dyDescent="0.3">
      <c r="A156" s="1667"/>
      <c r="B156" s="306"/>
      <c r="C156" s="466">
        <f t="shared" si="16"/>
        <v>0</v>
      </c>
      <c r="D156" s="466"/>
      <c r="E156" s="599"/>
      <c r="F156" s="893">
        <f t="shared" si="14"/>
        <v>0</v>
      </c>
    </row>
    <row r="157" spans="1:6" s="13" customFormat="1" hidden="1" x14ac:dyDescent="0.3">
      <c r="A157" s="1667"/>
      <c r="B157" s="306"/>
      <c r="C157" s="466">
        <f t="shared" si="16"/>
        <v>0</v>
      </c>
      <c r="D157" s="466"/>
      <c r="E157" s="599"/>
      <c r="F157" s="893">
        <f t="shared" si="14"/>
        <v>0</v>
      </c>
    </row>
    <row r="158" spans="1:6" s="13" customFormat="1" hidden="1" x14ac:dyDescent="0.3">
      <c r="A158" s="1667"/>
      <c r="B158" s="306"/>
      <c r="C158" s="466">
        <f t="shared" si="16"/>
        <v>0</v>
      </c>
      <c r="D158" s="466"/>
      <c r="E158" s="599"/>
      <c r="F158" s="893">
        <f t="shared" si="14"/>
        <v>0</v>
      </c>
    </row>
    <row r="159" spans="1:6" s="13" customFormat="1" hidden="1" x14ac:dyDescent="0.3">
      <c r="A159" s="1667"/>
      <c r="B159" s="306"/>
      <c r="C159" s="466">
        <f t="shared" si="16"/>
        <v>0</v>
      </c>
      <c r="D159" s="466"/>
      <c r="E159" s="599"/>
      <c r="F159" s="893">
        <f t="shared" si="14"/>
        <v>0</v>
      </c>
    </row>
    <row r="160" spans="1:6" s="13" customFormat="1" hidden="1" x14ac:dyDescent="0.3">
      <c r="A160" s="1667"/>
      <c r="B160" s="306"/>
      <c r="C160" s="466">
        <f t="shared" si="16"/>
        <v>0</v>
      </c>
      <c r="D160" s="466"/>
      <c r="E160" s="599"/>
      <c r="F160" s="893">
        <f t="shared" si="14"/>
        <v>0</v>
      </c>
    </row>
    <row r="161" spans="1:6" s="13" customFormat="1" hidden="1" x14ac:dyDescent="0.3">
      <c r="A161" s="1667"/>
      <c r="B161" s="306"/>
      <c r="C161" s="466">
        <f t="shared" si="16"/>
        <v>0</v>
      </c>
      <c r="D161" s="466"/>
      <c r="E161" s="599"/>
      <c r="F161" s="893">
        <f t="shared" si="14"/>
        <v>0</v>
      </c>
    </row>
    <row r="162" spans="1:6" s="13" customFormat="1" hidden="1" x14ac:dyDescent="0.3">
      <c r="A162" s="1673"/>
      <c r="B162" s="306" t="s">
        <v>740</v>
      </c>
      <c r="C162" s="466">
        <f>SUM(C152:C161)</f>
        <v>0</v>
      </c>
      <c r="D162" s="466">
        <f>SUM(D152:D161)</f>
        <v>0</v>
      </c>
      <c r="E162" s="466">
        <f>SUM(E152:E161)</f>
        <v>0</v>
      </c>
      <c r="F162" s="893">
        <f t="shared" si="14"/>
        <v>0</v>
      </c>
    </row>
    <row r="163" spans="1:6" s="13" customFormat="1" hidden="1" x14ac:dyDescent="0.3">
      <c r="A163" s="1669" t="s">
        <v>1082</v>
      </c>
      <c r="B163" s="306"/>
      <c r="C163" s="466">
        <f>SUM(D163:E163)</f>
        <v>0</v>
      </c>
      <c r="D163" s="466"/>
      <c r="E163" s="599"/>
      <c r="F163" s="893">
        <f t="shared" si="14"/>
        <v>0</v>
      </c>
    </row>
    <row r="164" spans="1:6" s="13" customFormat="1" hidden="1" x14ac:dyDescent="0.3">
      <c r="A164" s="1667"/>
      <c r="B164" s="306"/>
      <c r="C164" s="466">
        <f t="shared" ref="C164:C172" si="17">SUM(D164:E164)</f>
        <v>0</v>
      </c>
      <c r="D164" s="466"/>
      <c r="E164" s="599"/>
      <c r="F164" s="893">
        <f t="shared" si="14"/>
        <v>0</v>
      </c>
    </row>
    <row r="165" spans="1:6" s="13" customFormat="1" hidden="1" x14ac:dyDescent="0.3">
      <c r="A165" s="1667"/>
      <c r="B165" s="306"/>
      <c r="C165" s="466">
        <f t="shared" si="17"/>
        <v>0</v>
      </c>
      <c r="D165" s="466"/>
      <c r="E165" s="599"/>
      <c r="F165" s="893">
        <f t="shared" si="14"/>
        <v>0</v>
      </c>
    </row>
    <row r="166" spans="1:6" s="13" customFormat="1" hidden="1" x14ac:dyDescent="0.3">
      <c r="A166" s="1667"/>
      <c r="B166" s="306"/>
      <c r="C166" s="466">
        <f t="shared" si="17"/>
        <v>0</v>
      </c>
      <c r="D166" s="466"/>
      <c r="E166" s="599"/>
      <c r="F166" s="893">
        <f t="shared" si="14"/>
        <v>0</v>
      </c>
    </row>
    <row r="167" spans="1:6" s="13" customFormat="1" hidden="1" x14ac:dyDescent="0.3">
      <c r="A167" s="1667"/>
      <c r="B167" s="306"/>
      <c r="C167" s="466">
        <f t="shared" si="17"/>
        <v>0</v>
      </c>
      <c r="D167" s="466"/>
      <c r="E167" s="599"/>
      <c r="F167" s="893">
        <f t="shared" si="14"/>
        <v>0</v>
      </c>
    </row>
    <row r="168" spans="1:6" s="13" customFormat="1" hidden="1" x14ac:dyDescent="0.3">
      <c r="A168" s="1667"/>
      <c r="B168" s="306"/>
      <c r="C168" s="466">
        <f t="shared" si="17"/>
        <v>0</v>
      </c>
      <c r="D168" s="466"/>
      <c r="E168" s="599"/>
      <c r="F168" s="893">
        <f t="shared" si="14"/>
        <v>0</v>
      </c>
    </row>
    <row r="169" spans="1:6" s="13" customFormat="1" hidden="1" x14ac:dyDescent="0.3">
      <c r="A169" s="1667"/>
      <c r="B169" s="306"/>
      <c r="C169" s="466">
        <f t="shared" si="17"/>
        <v>0</v>
      </c>
      <c r="D169" s="466"/>
      <c r="E169" s="599"/>
      <c r="F169" s="893">
        <f t="shared" si="14"/>
        <v>0</v>
      </c>
    </row>
    <row r="170" spans="1:6" s="13" customFormat="1" hidden="1" x14ac:dyDescent="0.3">
      <c r="A170" s="1667"/>
      <c r="B170" s="306"/>
      <c r="C170" s="466">
        <f t="shared" si="17"/>
        <v>0</v>
      </c>
      <c r="D170" s="466"/>
      <c r="E170" s="599"/>
      <c r="F170" s="893">
        <f t="shared" si="14"/>
        <v>0</v>
      </c>
    </row>
    <row r="171" spans="1:6" s="13" customFormat="1" hidden="1" x14ac:dyDescent="0.3">
      <c r="A171" s="1667"/>
      <c r="B171" s="306"/>
      <c r="C171" s="466">
        <f t="shared" si="17"/>
        <v>0</v>
      </c>
      <c r="D171" s="466"/>
      <c r="E171" s="599"/>
      <c r="F171" s="893">
        <f t="shared" si="14"/>
        <v>0</v>
      </c>
    </row>
    <row r="172" spans="1:6" s="13" customFormat="1" hidden="1" x14ac:dyDescent="0.3">
      <c r="A172" s="1667"/>
      <c r="B172" s="306"/>
      <c r="C172" s="466">
        <f t="shared" si="17"/>
        <v>0</v>
      </c>
      <c r="D172" s="466"/>
      <c r="E172" s="599"/>
      <c r="F172" s="893">
        <f t="shared" si="14"/>
        <v>0</v>
      </c>
    </row>
    <row r="173" spans="1:6" s="13" customFormat="1" hidden="1" x14ac:dyDescent="0.3">
      <c r="A173" s="1673"/>
      <c r="B173" s="306" t="s">
        <v>740</v>
      </c>
      <c r="C173" s="466">
        <f>SUM(C163:C172)</f>
        <v>0</v>
      </c>
      <c r="D173" s="466">
        <f>SUM(D163:D172)</f>
        <v>0</v>
      </c>
      <c r="E173" s="466">
        <f>SUM(E163:E172)</f>
        <v>0</v>
      </c>
      <c r="F173" s="893">
        <f t="shared" si="14"/>
        <v>0</v>
      </c>
    </row>
    <row r="174" spans="1:6" s="13" customFormat="1" hidden="1" x14ac:dyDescent="0.3">
      <c r="A174" s="1669" t="s">
        <v>1083</v>
      </c>
      <c r="B174" s="306"/>
      <c r="C174" s="466">
        <f>SUM(D174:E174)</f>
        <v>0</v>
      </c>
      <c r="D174" s="466"/>
      <c r="E174" s="599"/>
      <c r="F174" s="893">
        <f t="shared" si="14"/>
        <v>0</v>
      </c>
    </row>
    <row r="175" spans="1:6" s="13" customFormat="1" hidden="1" x14ac:dyDescent="0.3">
      <c r="A175" s="1667"/>
      <c r="B175" s="306"/>
      <c r="C175" s="466">
        <f t="shared" ref="C175:C183" si="18">SUM(D175:E175)</f>
        <v>0</v>
      </c>
      <c r="D175" s="466"/>
      <c r="E175" s="599"/>
      <c r="F175" s="893">
        <f t="shared" si="14"/>
        <v>0</v>
      </c>
    </row>
    <row r="176" spans="1:6" s="13" customFormat="1" hidden="1" x14ac:dyDescent="0.3">
      <c r="A176" s="1667"/>
      <c r="B176" s="306"/>
      <c r="C176" s="466">
        <f t="shared" si="18"/>
        <v>0</v>
      </c>
      <c r="D176" s="466"/>
      <c r="E176" s="599"/>
      <c r="F176" s="893">
        <f t="shared" si="14"/>
        <v>0</v>
      </c>
    </row>
    <row r="177" spans="1:6" s="13" customFormat="1" hidden="1" x14ac:dyDescent="0.3">
      <c r="A177" s="1667"/>
      <c r="B177" s="306"/>
      <c r="C177" s="466">
        <f t="shared" si="18"/>
        <v>0</v>
      </c>
      <c r="D177" s="466"/>
      <c r="E177" s="599"/>
      <c r="F177" s="893">
        <f t="shared" si="14"/>
        <v>0</v>
      </c>
    </row>
    <row r="178" spans="1:6" s="13" customFormat="1" hidden="1" x14ac:dyDescent="0.3">
      <c r="A178" s="1667"/>
      <c r="B178" s="306"/>
      <c r="C178" s="466">
        <f t="shared" si="18"/>
        <v>0</v>
      </c>
      <c r="D178" s="466"/>
      <c r="E178" s="599"/>
      <c r="F178" s="893">
        <f t="shared" si="14"/>
        <v>0</v>
      </c>
    </row>
    <row r="179" spans="1:6" s="13" customFormat="1" hidden="1" x14ac:dyDescent="0.3">
      <c r="A179" s="1667"/>
      <c r="B179" s="306"/>
      <c r="C179" s="466">
        <f t="shared" si="18"/>
        <v>0</v>
      </c>
      <c r="D179" s="466"/>
      <c r="E179" s="599"/>
      <c r="F179" s="893">
        <f t="shared" si="14"/>
        <v>0</v>
      </c>
    </row>
    <row r="180" spans="1:6" s="13" customFormat="1" hidden="1" x14ac:dyDescent="0.3">
      <c r="A180" s="1667"/>
      <c r="B180" s="306"/>
      <c r="C180" s="466">
        <f t="shared" si="18"/>
        <v>0</v>
      </c>
      <c r="D180" s="466"/>
      <c r="E180" s="599"/>
      <c r="F180" s="893">
        <f t="shared" si="14"/>
        <v>0</v>
      </c>
    </row>
    <row r="181" spans="1:6" s="13" customFormat="1" hidden="1" x14ac:dyDescent="0.3">
      <c r="A181" s="1667"/>
      <c r="B181" s="306"/>
      <c r="C181" s="466">
        <f t="shared" si="18"/>
        <v>0</v>
      </c>
      <c r="D181" s="466"/>
      <c r="E181" s="599"/>
      <c r="F181" s="893">
        <f t="shared" si="14"/>
        <v>0</v>
      </c>
    </row>
    <row r="182" spans="1:6" s="13" customFormat="1" hidden="1" x14ac:dyDescent="0.3">
      <c r="A182" s="1667"/>
      <c r="B182" s="306"/>
      <c r="C182" s="466">
        <f t="shared" si="18"/>
        <v>0</v>
      </c>
      <c r="D182" s="466"/>
      <c r="E182" s="599"/>
      <c r="F182" s="893">
        <f t="shared" si="14"/>
        <v>0</v>
      </c>
    </row>
    <row r="183" spans="1:6" s="13" customFormat="1" hidden="1" x14ac:dyDescent="0.3">
      <c r="A183" s="1667"/>
      <c r="B183" s="306"/>
      <c r="C183" s="466">
        <f t="shared" si="18"/>
        <v>0</v>
      </c>
      <c r="D183" s="466"/>
      <c r="E183" s="599"/>
      <c r="F183" s="893">
        <f t="shared" si="14"/>
        <v>0</v>
      </c>
    </row>
    <row r="184" spans="1:6" s="13" customFormat="1" hidden="1" x14ac:dyDescent="0.3">
      <c r="A184" s="1673"/>
      <c r="B184" s="306" t="s">
        <v>740</v>
      </c>
      <c r="C184" s="466">
        <f>SUM(C174:C183)</f>
        <v>0</v>
      </c>
      <c r="D184" s="466">
        <f>SUM(D174:D183)</f>
        <v>0</v>
      </c>
      <c r="E184" s="466">
        <f>SUM(E174:E183)</f>
        <v>0</v>
      </c>
      <c r="F184" s="893">
        <f t="shared" si="14"/>
        <v>0</v>
      </c>
    </row>
    <row r="185" spans="1:6" s="13" customFormat="1" hidden="1" x14ac:dyDescent="0.3">
      <c r="A185" s="1669" t="s">
        <v>1084</v>
      </c>
      <c r="B185" s="306"/>
      <c r="C185" s="466">
        <f>SUM(D185:E185)</f>
        <v>0</v>
      </c>
      <c r="D185" s="466"/>
      <c r="E185" s="599"/>
      <c r="F185" s="893">
        <f t="shared" si="14"/>
        <v>0</v>
      </c>
    </row>
    <row r="186" spans="1:6" s="13" customFormat="1" hidden="1" x14ac:dyDescent="0.3">
      <c r="A186" s="1667"/>
      <c r="B186" s="306"/>
      <c r="C186" s="466">
        <f t="shared" ref="C186:C194" si="19">SUM(D186:E186)</f>
        <v>0</v>
      </c>
      <c r="D186" s="466"/>
      <c r="E186" s="599"/>
      <c r="F186" s="893">
        <f t="shared" si="14"/>
        <v>0</v>
      </c>
    </row>
    <row r="187" spans="1:6" s="13" customFormat="1" hidden="1" x14ac:dyDescent="0.3">
      <c r="A187" s="1667"/>
      <c r="B187" s="306"/>
      <c r="C187" s="466">
        <f t="shared" si="19"/>
        <v>0</v>
      </c>
      <c r="D187" s="466"/>
      <c r="E187" s="599"/>
      <c r="F187" s="893">
        <f t="shared" si="14"/>
        <v>0</v>
      </c>
    </row>
    <row r="188" spans="1:6" s="13" customFormat="1" hidden="1" x14ac:dyDescent="0.3">
      <c r="A188" s="1667"/>
      <c r="B188" s="306"/>
      <c r="C188" s="466">
        <f t="shared" si="19"/>
        <v>0</v>
      </c>
      <c r="D188" s="466"/>
      <c r="E188" s="599"/>
      <c r="F188" s="893">
        <f t="shared" si="14"/>
        <v>0</v>
      </c>
    </row>
    <row r="189" spans="1:6" s="13" customFormat="1" hidden="1" x14ac:dyDescent="0.3">
      <c r="A189" s="1667"/>
      <c r="B189" s="306"/>
      <c r="C189" s="466">
        <f t="shared" si="19"/>
        <v>0</v>
      </c>
      <c r="D189" s="466"/>
      <c r="E189" s="599"/>
      <c r="F189" s="893">
        <f t="shared" si="14"/>
        <v>0</v>
      </c>
    </row>
    <row r="190" spans="1:6" s="13" customFormat="1" hidden="1" x14ac:dyDescent="0.3">
      <c r="A190" s="1667"/>
      <c r="B190" s="306"/>
      <c r="C190" s="466">
        <f t="shared" si="19"/>
        <v>0</v>
      </c>
      <c r="D190" s="466"/>
      <c r="E190" s="599"/>
      <c r="F190" s="893">
        <f t="shared" si="14"/>
        <v>0</v>
      </c>
    </row>
    <row r="191" spans="1:6" s="13" customFormat="1" hidden="1" x14ac:dyDescent="0.3">
      <c r="A191" s="1667"/>
      <c r="B191" s="306"/>
      <c r="C191" s="466">
        <f t="shared" si="19"/>
        <v>0</v>
      </c>
      <c r="D191" s="466"/>
      <c r="E191" s="599"/>
      <c r="F191" s="893">
        <f t="shared" si="14"/>
        <v>0</v>
      </c>
    </row>
    <row r="192" spans="1:6" s="13" customFormat="1" hidden="1" x14ac:dyDescent="0.3">
      <c r="A192" s="1667"/>
      <c r="B192" s="306"/>
      <c r="C192" s="466">
        <f t="shared" si="19"/>
        <v>0</v>
      </c>
      <c r="D192" s="466"/>
      <c r="E192" s="599"/>
      <c r="F192" s="893">
        <f t="shared" si="14"/>
        <v>0</v>
      </c>
    </row>
    <row r="193" spans="1:6" s="13" customFormat="1" hidden="1" x14ac:dyDescent="0.3">
      <c r="A193" s="1667"/>
      <c r="B193" s="306"/>
      <c r="C193" s="466">
        <f t="shared" si="19"/>
        <v>0</v>
      </c>
      <c r="D193" s="466"/>
      <c r="E193" s="599"/>
      <c r="F193" s="893">
        <f t="shared" si="14"/>
        <v>0</v>
      </c>
    </row>
    <row r="194" spans="1:6" s="13" customFormat="1" hidden="1" x14ac:dyDescent="0.3">
      <c r="A194" s="1667"/>
      <c r="B194" s="306"/>
      <c r="C194" s="466">
        <f t="shared" si="19"/>
        <v>0</v>
      </c>
      <c r="D194" s="466"/>
      <c r="E194" s="599"/>
      <c r="F194" s="893">
        <f t="shared" si="14"/>
        <v>0</v>
      </c>
    </row>
    <row r="195" spans="1:6" s="13" customFormat="1" hidden="1" x14ac:dyDescent="0.3">
      <c r="A195" s="1673"/>
      <c r="B195" s="306" t="s">
        <v>740</v>
      </c>
      <c r="C195" s="466">
        <f>SUM(C185:C194)</f>
        <v>0</v>
      </c>
      <c r="D195" s="466">
        <f>SUM(D185:D194)</f>
        <v>0</v>
      </c>
      <c r="E195" s="466">
        <f>SUM(E185:E194)</f>
        <v>0</v>
      </c>
      <c r="F195" s="893">
        <f t="shared" si="14"/>
        <v>0</v>
      </c>
    </row>
    <row r="196" spans="1:6" s="13" customFormat="1" hidden="1" x14ac:dyDescent="0.3">
      <c r="A196" s="1669" t="s">
        <v>1085</v>
      </c>
      <c r="B196" s="306"/>
      <c r="C196" s="466">
        <f>SUM(D196:E196)</f>
        <v>0</v>
      </c>
      <c r="D196" s="466"/>
      <c r="E196" s="599"/>
      <c r="F196" s="893">
        <f t="shared" si="14"/>
        <v>0</v>
      </c>
    </row>
    <row r="197" spans="1:6" s="13" customFormat="1" hidden="1" x14ac:dyDescent="0.3">
      <c r="A197" s="1667"/>
      <c r="B197" s="306"/>
      <c r="C197" s="466">
        <f t="shared" ref="C197:C205" si="20">SUM(D197:E197)</f>
        <v>0</v>
      </c>
      <c r="D197" s="466"/>
      <c r="E197" s="599"/>
      <c r="F197" s="893">
        <f t="shared" si="14"/>
        <v>0</v>
      </c>
    </row>
    <row r="198" spans="1:6" s="13" customFormat="1" hidden="1" x14ac:dyDescent="0.3">
      <c r="A198" s="1667"/>
      <c r="B198" s="306"/>
      <c r="C198" s="466">
        <f t="shared" si="20"/>
        <v>0</v>
      </c>
      <c r="D198" s="466"/>
      <c r="E198" s="599"/>
      <c r="F198" s="893">
        <f t="shared" si="14"/>
        <v>0</v>
      </c>
    </row>
    <row r="199" spans="1:6" s="13" customFormat="1" hidden="1" x14ac:dyDescent="0.3">
      <c r="A199" s="1667"/>
      <c r="B199" s="306"/>
      <c r="C199" s="466">
        <f t="shared" si="20"/>
        <v>0</v>
      </c>
      <c r="D199" s="466"/>
      <c r="E199" s="599"/>
      <c r="F199" s="893">
        <f t="shared" si="14"/>
        <v>0</v>
      </c>
    </row>
    <row r="200" spans="1:6" s="13" customFormat="1" hidden="1" x14ac:dyDescent="0.3">
      <c r="A200" s="1667"/>
      <c r="B200" s="306"/>
      <c r="C200" s="466">
        <f t="shared" si="20"/>
        <v>0</v>
      </c>
      <c r="D200" s="466"/>
      <c r="E200" s="599"/>
      <c r="F200" s="893">
        <f t="shared" si="14"/>
        <v>0</v>
      </c>
    </row>
    <row r="201" spans="1:6" s="13" customFormat="1" hidden="1" x14ac:dyDescent="0.3">
      <c r="A201" s="1667"/>
      <c r="B201" s="306"/>
      <c r="C201" s="466">
        <f t="shared" si="20"/>
        <v>0</v>
      </c>
      <c r="D201" s="466"/>
      <c r="E201" s="599"/>
      <c r="F201" s="893">
        <f t="shared" si="14"/>
        <v>0</v>
      </c>
    </row>
    <row r="202" spans="1:6" s="13" customFormat="1" hidden="1" x14ac:dyDescent="0.3">
      <c r="A202" s="1667"/>
      <c r="B202" s="306"/>
      <c r="C202" s="466">
        <f t="shared" si="20"/>
        <v>0</v>
      </c>
      <c r="D202" s="466"/>
      <c r="E202" s="599"/>
      <c r="F202" s="893">
        <f t="shared" si="14"/>
        <v>0</v>
      </c>
    </row>
    <row r="203" spans="1:6" s="13" customFormat="1" hidden="1" x14ac:dyDescent="0.3">
      <c r="A203" s="1667"/>
      <c r="B203" s="306"/>
      <c r="C203" s="466">
        <f t="shared" si="20"/>
        <v>0</v>
      </c>
      <c r="D203" s="466"/>
      <c r="E203" s="599"/>
      <c r="F203" s="893">
        <f t="shared" ref="F203:F266" si="21">SUM(C203:E203)</f>
        <v>0</v>
      </c>
    </row>
    <row r="204" spans="1:6" s="13" customFormat="1" hidden="1" x14ac:dyDescent="0.3">
      <c r="A204" s="1667"/>
      <c r="B204" s="306"/>
      <c r="C204" s="466">
        <f t="shared" si="20"/>
        <v>0</v>
      </c>
      <c r="D204" s="466"/>
      <c r="E204" s="599"/>
      <c r="F204" s="893">
        <f t="shared" si="21"/>
        <v>0</v>
      </c>
    </row>
    <row r="205" spans="1:6" s="13" customFormat="1" hidden="1" x14ac:dyDescent="0.3">
      <c r="A205" s="1667"/>
      <c r="B205" s="306"/>
      <c r="C205" s="466">
        <f t="shared" si="20"/>
        <v>0</v>
      </c>
      <c r="D205" s="466"/>
      <c r="E205" s="599"/>
      <c r="F205" s="893">
        <f t="shared" si="21"/>
        <v>0</v>
      </c>
    </row>
    <row r="206" spans="1:6" s="13" customFormat="1" hidden="1" x14ac:dyDescent="0.3">
      <c r="A206" s="1673"/>
      <c r="B206" s="306" t="s">
        <v>740</v>
      </c>
      <c r="C206" s="466">
        <f>SUM(C196:C205)</f>
        <v>0</v>
      </c>
      <c r="D206" s="466">
        <f>SUM(D196:D205)</f>
        <v>0</v>
      </c>
      <c r="E206" s="466">
        <f>SUM(E196:E205)</f>
        <v>0</v>
      </c>
      <c r="F206" s="893">
        <f t="shared" si="21"/>
        <v>0</v>
      </c>
    </row>
    <row r="207" spans="1:6" s="13" customFormat="1" hidden="1" x14ac:dyDescent="0.3">
      <c r="A207" s="1669" t="s">
        <v>1086</v>
      </c>
      <c r="B207" s="306"/>
      <c r="C207" s="466">
        <f>SUM(D207:E207)</f>
        <v>0</v>
      </c>
      <c r="D207" s="466"/>
      <c r="E207" s="599"/>
      <c r="F207" s="893">
        <f t="shared" si="21"/>
        <v>0</v>
      </c>
    </row>
    <row r="208" spans="1:6" s="13" customFormat="1" hidden="1" x14ac:dyDescent="0.3">
      <c r="A208" s="1667"/>
      <c r="B208" s="306"/>
      <c r="C208" s="466">
        <f t="shared" ref="C208:C216" si="22">SUM(D208:E208)</f>
        <v>0</v>
      </c>
      <c r="D208" s="466"/>
      <c r="E208" s="599"/>
      <c r="F208" s="893">
        <f t="shared" si="21"/>
        <v>0</v>
      </c>
    </row>
    <row r="209" spans="1:6" s="13" customFormat="1" hidden="1" x14ac:dyDescent="0.3">
      <c r="A209" s="1667"/>
      <c r="B209" s="306"/>
      <c r="C209" s="466">
        <f t="shared" si="22"/>
        <v>0</v>
      </c>
      <c r="D209" s="466"/>
      <c r="E209" s="599"/>
      <c r="F209" s="893">
        <f t="shared" si="21"/>
        <v>0</v>
      </c>
    </row>
    <row r="210" spans="1:6" s="13" customFormat="1" hidden="1" x14ac:dyDescent="0.3">
      <c r="A210" s="1667"/>
      <c r="B210" s="306"/>
      <c r="C210" s="466">
        <f t="shared" si="22"/>
        <v>0</v>
      </c>
      <c r="D210" s="466"/>
      <c r="E210" s="599"/>
      <c r="F210" s="893">
        <f t="shared" si="21"/>
        <v>0</v>
      </c>
    </row>
    <row r="211" spans="1:6" s="13" customFormat="1" hidden="1" x14ac:dyDescent="0.3">
      <c r="A211" s="1667"/>
      <c r="B211" s="306"/>
      <c r="C211" s="466">
        <f t="shared" si="22"/>
        <v>0</v>
      </c>
      <c r="D211" s="466"/>
      <c r="E211" s="599"/>
      <c r="F211" s="893">
        <f t="shared" si="21"/>
        <v>0</v>
      </c>
    </row>
    <row r="212" spans="1:6" s="13" customFormat="1" hidden="1" x14ac:dyDescent="0.3">
      <c r="A212" s="1667"/>
      <c r="B212" s="306"/>
      <c r="C212" s="466">
        <f t="shared" si="22"/>
        <v>0</v>
      </c>
      <c r="D212" s="466"/>
      <c r="E212" s="599"/>
      <c r="F212" s="893">
        <f t="shared" si="21"/>
        <v>0</v>
      </c>
    </row>
    <row r="213" spans="1:6" s="13" customFormat="1" hidden="1" x14ac:dyDescent="0.3">
      <c r="A213" s="1667"/>
      <c r="B213" s="306"/>
      <c r="C213" s="466">
        <f t="shared" si="22"/>
        <v>0</v>
      </c>
      <c r="D213" s="466"/>
      <c r="E213" s="599"/>
      <c r="F213" s="893">
        <f t="shared" si="21"/>
        <v>0</v>
      </c>
    </row>
    <row r="214" spans="1:6" s="13" customFormat="1" hidden="1" x14ac:dyDescent="0.3">
      <c r="A214" s="1667"/>
      <c r="B214" s="306"/>
      <c r="C214" s="466">
        <f t="shared" si="22"/>
        <v>0</v>
      </c>
      <c r="D214" s="466"/>
      <c r="E214" s="599"/>
      <c r="F214" s="893">
        <f t="shared" si="21"/>
        <v>0</v>
      </c>
    </row>
    <row r="215" spans="1:6" s="13" customFormat="1" hidden="1" x14ac:dyDescent="0.3">
      <c r="A215" s="1667"/>
      <c r="B215" s="306"/>
      <c r="C215" s="466">
        <f t="shared" si="22"/>
        <v>0</v>
      </c>
      <c r="D215" s="466"/>
      <c r="E215" s="599"/>
      <c r="F215" s="893">
        <f t="shared" si="21"/>
        <v>0</v>
      </c>
    </row>
    <row r="216" spans="1:6" s="13" customFormat="1" hidden="1" x14ac:dyDescent="0.3">
      <c r="A216" s="1667"/>
      <c r="B216" s="306"/>
      <c r="C216" s="466">
        <f t="shared" si="22"/>
        <v>0</v>
      </c>
      <c r="D216" s="466"/>
      <c r="E216" s="599"/>
      <c r="F216" s="893">
        <f t="shared" si="21"/>
        <v>0</v>
      </c>
    </row>
    <row r="217" spans="1:6" s="13" customFormat="1" hidden="1" x14ac:dyDescent="0.3">
      <c r="A217" s="1673"/>
      <c r="B217" s="306" t="s">
        <v>740</v>
      </c>
      <c r="C217" s="466">
        <f>SUM(C207:C216)</f>
        <v>0</v>
      </c>
      <c r="D217" s="466">
        <f>SUM(D207:D216)</f>
        <v>0</v>
      </c>
      <c r="E217" s="466">
        <f>SUM(E207:E216)</f>
        <v>0</v>
      </c>
      <c r="F217" s="893">
        <f t="shared" si="21"/>
        <v>0</v>
      </c>
    </row>
    <row r="218" spans="1:6" ht="93.75" x14ac:dyDescent="0.3">
      <c r="A218" s="1674" t="s">
        <v>1087</v>
      </c>
      <c r="B218" s="506" t="s">
        <v>1840</v>
      </c>
      <c r="C218" s="892">
        <f>D218+E218</f>
        <v>11000</v>
      </c>
      <c r="D218" s="892"/>
      <c r="E218" s="892">
        <v>11000</v>
      </c>
      <c r="F218" s="893">
        <f t="shared" si="21"/>
        <v>22000</v>
      </c>
    </row>
    <row r="219" spans="1:6" s="13" customFormat="1" hidden="1" x14ac:dyDescent="0.3">
      <c r="A219" s="1667"/>
      <c r="B219" s="306"/>
      <c r="C219" s="466">
        <f t="shared" ref="C219:C227" si="23">SUM(D219:E219)</f>
        <v>0</v>
      </c>
      <c r="D219" s="466"/>
      <c r="E219" s="599"/>
      <c r="F219" s="893">
        <f t="shared" si="21"/>
        <v>0</v>
      </c>
    </row>
    <row r="220" spans="1:6" s="13" customFormat="1" hidden="1" x14ac:dyDescent="0.3">
      <c r="A220" s="1667"/>
      <c r="B220" s="306"/>
      <c r="C220" s="466">
        <f t="shared" si="23"/>
        <v>0</v>
      </c>
      <c r="D220" s="466"/>
      <c r="E220" s="599"/>
      <c r="F220" s="893">
        <f t="shared" si="21"/>
        <v>0</v>
      </c>
    </row>
    <row r="221" spans="1:6" s="13" customFormat="1" hidden="1" x14ac:dyDescent="0.3">
      <c r="A221" s="1667"/>
      <c r="B221" s="306"/>
      <c r="C221" s="466">
        <f t="shared" si="23"/>
        <v>0</v>
      </c>
      <c r="D221" s="466"/>
      <c r="E221" s="599"/>
      <c r="F221" s="893">
        <f t="shared" si="21"/>
        <v>0</v>
      </c>
    </row>
    <row r="222" spans="1:6" s="13" customFormat="1" hidden="1" x14ac:dyDescent="0.3">
      <c r="A222" s="1667"/>
      <c r="B222" s="306"/>
      <c r="C222" s="466">
        <f t="shared" si="23"/>
        <v>0</v>
      </c>
      <c r="D222" s="466"/>
      <c r="E222" s="599"/>
      <c r="F222" s="893">
        <f t="shared" si="21"/>
        <v>0</v>
      </c>
    </row>
    <row r="223" spans="1:6" s="13" customFormat="1" hidden="1" x14ac:dyDescent="0.3">
      <c r="A223" s="1667"/>
      <c r="B223" s="306"/>
      <c r="C223" s="466">
        <f t="shared" si="23"/>
        <v>0</v>
      </c>
      <c r="D223" s="466"/>
      <c r="E223" s="599"/>
      <c r="F223" s="893">
        <f t="shared" si="21"/>
        <v>0</v>
      </c>
    </row>
    <row r="224" spans="1:6" s="13" customFormat="1" hidden="1" x14ac:dyDescent="0.3">
      <c r="A224" s="1667"/>
      <c r="B224" s="306"/>
      <c r="C224" s="466">
        <f t="shared" si="23"/>
        <v>0</v>
      </c>
      <c r="D224" s="466"/>
      <c r="E224" s="599"/>
      <c r="F224" s="893">
        <f t="shared" si="21"/>
        <v>0</v>
      </c>
    </row>
    <row r="225" spans="1:6" s="13" customFormat="1" hidden="1" x14ac:dyDescent="0.3">
      <c r="A225" s="1667"/>
      <c r="B225" s="306"/>
      <c r="C225" s="466">
        <f t="shared" si="23"/>
        <v>0</v>
      </c>
      <c r="D225" s="466"/>
      <c r="E225" s="599"/>
      <c r="F225" s="893">
        <f t="shared" si="21"/>
        <v>0</v>
      </c>
    </row>
    <row r="226" spans="1:6" s="13" customFormat="1" hidden="1" x14ac:dyDescent="0.3">
      <c r="A226" s="1667"/>
      <c r="B226" s="306"/>
      <c r="C226" s="466">
        <f t="shared" si="23"/>
        <v>0</v>
      </c>
      <c r="D226" s="466"/>
      <c r="E226" s="599"/>
      <c r="F226" s="893">
        <f t="shared" si="21"/>
        <v>0</v>
      </c>
    </row>
    <row r="227" spans="1:6" s="13" customFormat="1" hidden="1" x14ac:dyDescent="0.3">
      <c r="A227" s="1667"/>
      <c r="B227" s="306"/>
      <c r="C227" s="466">
        <f t="shared" si="23"/>
        <v>0</v>
      </c>
      <c r="D227" s="466"/>
      <c r="E227" s="599"/>
      <c r="F227" s="893">
        <f t="shared" si="21"/>
        <v>0</v>
      </c>
    </row>
    <row r="228" spans="1:6" x14ac:dyDescent="0.3">
      <c r="A228" s="1675"/>
      <c r="B228" s="815" t="s">
        <v>740</v>
      </c>
      <c r="C228" s="1438">
        <f>SUM(C218:C227)</f>
        <v>11000</v>
      </c>
      <c r="D228" s="1438">
        <f>SUM(D218:D227)</f>
        <v>0</v>
      </c>
      <c r="E228" s="1438">
        <f>SUM(E218:E227)</f>
        <v>11000</v>
      </c>
      <c r="F228" s="893">
        <f t="shared" si="21"/>
        <v>22000</v>
      </c>
    </row>
    <row r="229" spans="1:6" ht="112.5" x14ac:dyDescent="0.3">
      <c r="A229" s="1674" t="s">
        <v>1088</v>
      </c>
      <c r="B229" s="862" t="s">
        <v>1392</v>
      </c>
      <c r="C229" s="1438">
        <f>SUM(D229:E229)</f>
        <v>69100</v>
      </c>
      <c r="D229" s="1438"/>
      <c r="E229" s="892">
        <v>69100</v>
      </c>
      <c r="F229" s="893">
        <f t="shared" si="21"/>
        <v>138200</v>
      </c>
    </row>
    <row r="230" spans="1:6" s="13" customFormat="1" hidden="1" x14ac:dyDescent="0.3">
      <c r="A230" s="1667"/>
      <c r="B230" s="306"/>
      <c r="C230" s="466">
        <f t="shared" ref="C230:C238" si="24">SUM(D230:E230)</f>
        <v>0</v>
      </c>
      <c r="D230" s="466"/>
      <c r="E230" s="599"/>
      <c r="F230" s="893">
        <f t="shared" si="21"/>
        <v>0</v>
      </c>
    </row>
    <row r="231" spans="1:6" s="13" customFormat="1" hidden="1" x14ac:dyDescent="0.3">
      <c r="A231" s="1667"/>
      <c r="B231" s="306"/>
      <c r="C231" s="466">
        <f t="shared" si="24"/>
        <v>0</v>
      </c>
      <c r="D231" s="466"/>
      <c r="E231" s="599"/>
      <c r="F231" s="893">
        <f t="shared" si="21"/>
        <v>0</v>
      </c>
    </row>
    <row r="232" spans="1:6" s="13" customFormat="1" hidden="1" x14ac:dyDescent="0.3">
      <c r="A232" s="1667"/>
      <c r="B232" s="306"/>
      <c r="C232" s="466">
        <f t="shared" si="24"/>
        <v>0</v>
      </c>
      <c r="D232" s="466"/>
      <c r="E232" s="599"/>
      <c r="F232" s="893">
        <f t="shared" si="21"/>
        <v>0</v>
      </c>
    </row>
    <row r="233" spans="1:6" s="13" customFormat="1" hidden="1" x14ac:dyDescent="0.3">
      <c r="A233" s="1667"/>
      <c r="B233" s="306"/>
      <c r="C233" s="466">
        <f t="shared" si="24"/>
        <v>0</v>
      </c>
      <c r="D233" s="466"/>
      <c r="E233" s="599"/>
      <c r="F233" s="893">
        <f t="shared" si="21"/>
        <v>0</v>
      </c>
    </row>
    <row r="234" spans="1:6" s="13" customFormat="1" hidden="1" x14ac:dyDescent="0.3">
      <c r="A234" s="1667"/>
      <c r="B234" s="306"/>
      <c r="C234" s="466">
        <f t="shared" si="24"/>
        <v>0</v>
      </c>
      <c r="D234" s="466"/>
      <c r="E234" s="599"/>
      <c r="F234" s="893">
        <f t="shared" si="21"/>
        <v>0</v>
      </c>
    </row>
    <row r="235" spans="1:6" s="13" customFormat="1" hidden="1" x14ac:dyDescent="0.3">
      <c r="A235" s="1667"/>
      <c r="B235" s="306"/>
      <c r="C235" s="466">
        <f t="shared" si="24"/>
        <v>0</v>
      </c>
      <c r="D235" s="466"/>
      <c r="E235" s="599"/>
      <c r="F235" s="893">
        <f t="shared" si="21"/>
        <v>0</v>
      </c>
    </row>
    <row r="236" spans="1:6" s="13" customFormat="1" hidden="1" x14ac:dyDescent="0.3">
      <c r="A236" s="1667"/>
      <c r="B236" s="306"/>
      <c r="C236" s="466">
        <f t="shared" si="24"/>
        <v>0</v>
      </c>
      <c r="D236" s="466"/>
      <c r="E236" s="599"/>
      <c r="F236" s="893">
        <f t="shared" si="21"/>
        <v>0</v>
      </c>
    </row>
    <row r="237" spans="1:6" s="13" customFormat="1" hidden="1" x14ac:dyDescent="0.3">
      <c r="A237" s="1667"/>
      <c r="B237" s="306"/>
      <c r="C237" s="466">
        <f t="shared" si="24"/>
        <v>0</v>
      </c>
      <c r="D237" s="466"/>
      <c r="E237" s="599"/>
      <c r="F237" s="893">
        <f t="shared" si="21"/>
        <v>0</v>
      </c>
    </row>
    <row r="238" spans="1:6" s="13" customFormat="1" hidden="1" x14ac:dyDescent="0.3">
      <c r="A238" s="1667"/>
      <c r="B238" s="306"/>
      <c r="C238" s="466">
        <f t="shared" si="24"/>
        <v>0</v>
      </c>
      <c r="D238" s="466"/>
      <c r="E238" s="599"/>
      <c r="F238" s="893">
        <f t="shared" si="21"/>
        <v>0</v>
      </c>
    </row>
    <row r="239" spans="1:6" x14ac:dyDescent="0.3">
      <c r="A239" s="1675"/>
      <c r="B239" s="862" t="s">
        <v>740</v>
      </c>
      <c r="C239" s="1438">
        <f>SUM(C229:C238)</f>
        <v>69100</v>
      </c>
      <c r="D239" s="1438">
        <f>SUM(D229:D238)</f>
        <v>0</v>
      </c>
      <c r="E239" s="1438">
        <f>SUM(E229:E238)</f>
        <v>69100</v>
      </c>
      <c r="F239" s="893">
        <f t="shared" si="21"/>
        <v>138200</v>
      </c>
    </row>
    <row r="240" spans="1:6" s="13" customFormat="1" hidden="1" x14ac:dyDescent="0.3">
      <c r="A240" s="1669" t="s">
        <v>1089</v>
      </c>
      <c r="B240" s="306"/>
      <c r="C240" s="466">
        <f>SUM(D240:E240)</f>
        <v>0</v>
      </c>
      <c r="D240" s="466"/>
      <c r="E240" s="599"/>
      <c r="F240" s="893">
        <f t="shared" si="21"/>
        <v>0</v>
      </c>
    </row>
    <row r="241" spans="1:6" s="13" customFormat="1" hidden="1" x14ac:dyDescent="0.3">
      <c r="A241" s="1667"/>
      <c r="B241" s="306"/>
      <c r="C241" s="466">
        <f t="shared" ref="C241:C249" si="25">SUM(D241:E241)</f>
        <v>0</v>
      </c>
      <c r="D241" s="466"/>
      <c r="E241" s="599"/>
      <c r="F241" s="893">
        <f t="shared" si="21"/>
        <v>0</v>
      </c>
    </row>
    <row r="242" spans="1:6" s="13" customFormat="1" hidden="1" x14ac:dyDescent="0.3">
      <c r="A242" s="1667"/>
      <c r="B242" s="306"/>
      <c r="C242" s="466">
        <f t="shared" si="25"/>
        <v>0</v>
      </c>
      <c r="D242" s="466"/>
      <c r="E242" s="599"/>
      <c r="F242" s="893">
        <f t="shared" si="21"/>
        <v>0</v>
      </c>
    </row>
    <row r="243" spans="1:6" s="13" customFormat="1" hidden="1" x14ac:dyDescent="0.3">
      <c r="A243" s="1667"/>
      <c r="B243" s="306"/>
      <c r="C243" s="466">
        <f t="shared" si="25"/>
        <v>0</v>
      </c>
      <c r="D243" s="466"/>
      <c r="E243" s="599"/>
      <c r="F243" s="893">
        <f t="shared" si="21"/>
        <v>0</v>
      </c>
    </row>
    <row r="244" spans="1:6" s="13" customFormat="1" hidden="1" x14ac:dyDescent="0.3">
      <c r="A244" s="1667"/>
      <c r="B244" s="306"/>
      <c r="C244" s="466">
        <f t="shared" si="25"/>
        <v>0</v>
      </c>
      <c r="D244" s="466"/>
      <c r="E244" s="599"/>
      <c r="F244" s="893">
        <f t="shared" si="21"/>
        <v>0</v>
      </c>
    </row>
    <row r="245" spans="1:6" s="13" customFormat="1" hidden="1" x14ac:dyDescent="0.3">
      <c r="A245" s="1667"/>
      <c r="B245" s="306"/>
      <c r="C245" s="466">
        <f t="shared" si="25"/>
        <v>0</v>
      </c>
      <c r="D245" s="466"/>
      <c r="E245" s="599"/>
      <c r="F245" s="893">
        <f t="shared" si="21"/>
        <v>0</v>
      </c>
    </row>
    <row r="246" spans="1:6" s="13" customFormat="1" hidden="1" x14ac:dyDescent="0.3">
      <c r="A246" s="1667"/>
      <c r="B246" s="306"/>
      <c r="C246" s="466">
        <f t="shared" si="25"/>
        <v>0</v>
      </c>
      <c r="D246" s="466"/>
      <c r="E246" s="599"/>
      <c r="F246" s="893">
        <f t="shared" si="21"/>
        <v>0</v>
      </c>
    </row>
    <row r="247" spans="1:6" s="13" customFormat="1" hidden="1" x14ac:dyDescent="0.3">
      <c r="A247" s="1667"/>
      <c r="B247" s="306"/>
      <c r="C247" s="466">
        <f t="shared" si="25"/>
        <v>0</v>
      </c>
      <c r="D247" s="466"/>
      <c r="E247" s="599"/>
      <c r="F247" s="893">
        <f t="shared" si="21"/>
        <v>0</v>
      </c>
    </row>
    <row r="248" spans="1:6" s="13" customFormat="1" hidden="1" x14ac:dyDescent="0.3">
      <c r="A248" s="1667"/>
      <c r="B248" s="306"/>
      <c r="C248" s="466">
        <f t="shared" si="25"/>
        <v>0</v>
      </c>
      <c r="D248" s="466"/>
      <c r="E248" s="599"/>
      <c r="F248" s="893">
        <f t="shared" si="21"/>
        <v>0</v>
      </c>
    </row>
    <row r="249" spans="1:6" s="13" customFormat="1" hidden="1" x14ac:dyDescent="0.3">
      <c r="A249" s="1667"/>
      <c r="B249" s="306"/>
      <c r="C249" s="466">
        <f t="shared" si="25"/>
        <v>0</v>
      </c>
      <c r="D249" s="466"/>
      <c r="E249" s="599"/>
      <c r="F249" s="893">
        <f t="shared" si="21"/>
        <v>0</v>
      </c>
    </row>
    <row r="250" spans="1:6" s="13" customFormat="1" hidden="1" x14ac:dyDescent="0.3">
      <c r="A250" s="1673"/>
      <c r="B250" s="306" t="s">
        <v>740</v>
      </c>
      <c r="C250" s="466">
        <f>SUM(C240:C249)</f>
        <v>0</v>
      </c>
      <c r="D250" s="466">
        <f>SUM(D240:D249)</f>
        <v>0</v>
      </c>
      <c r="E250" s="466">
        <f>SUM(E240:E249)</f>
        <v>0</v>
      </c>
      <c r="F250" s="893">
        <f t="shared" si="21"/>
        <v>0</v>
      </c>
    </row>
    <row r="251" spans="1:6" s="13" customFormat="1" hidden="1" x14ac:dyDescent="0.3">
      <c r="A251" s="1669" t="s">
        <v>1090</v>
      </c>
      <c r="B251" s="306"/>
      <c r="C251" s="466">
        <f>SUM(D251:E251)</f>
        <v>0</v>
      </c>
      <c r="D251" s="466"/>
      <c r="E251" s="599"/>
      <c r="F251" s="893">
        <f t="shared" si="21"/>
        <v>0</v>
      </c>
    </row>
    <row r="252" spans="1:6" s="13" customFormat="1" hidden="1" x14ac:dyDescent="0.3">
      <c r="A252" s="1667"/>
      <c r="B252" s="306"/>
      <c r="C252" s="466">
        <f t="shared" ref="C252:C260" si="26">SUM(D252:E252)</f>
        <v>0</v>
      </c>
      <c r="D252" s="466"/>
      <c r="E252" s="599"/>
      <c r="F252" s="893">
        <f t="shared" si="21"/>
        <v>0</v>
      </c>
    </row>
    <row r="253" spans="1:6" s="13" customFormat="1" hidden="1" x14ac:dyDescent="0.3">
      <c r="A253" s="1667"/>
      <c r="B253" s="306"/>
      <c r="C253" s="466">
        <f t="shared" si="26"/>
        <v>0</v>
      </c>
      <c r="D253" s="466"/>
      <c r="E253" s="599"/>
      <c r="F253" s="893">
        <f t="shared" si="21"/>
        <v>0</v>
      </c>
    </row>
    <row r="254" spans="1:6" s="13" customFormat="1" hidden="1" x14ac:dyDescent="0.3">
      <c r="A254" s="1667"/>
      <c r="B254" s="306"/>
      <c r="C254" s="466">
        <f t="shared" si="26"/>
        <v>0</v>
      </c>
      <c r="D254" s="466"/>
      <c r="E254" s="599"/>
      <c r="F254" s="893">
        <f t="shared" si="21"/>
        <v>0</v>
      </c>
    </row>
    <row r="255" spans="1:6" s="13" customFormat="1" hidden="1" x14ac:dyDescent="0.3">
      <c r="A255" s="1667"/>
      <c r="B255" s="306"/>
      <c r="C255" s="466">
        <f t="shared" si="26"/>
        <v>0</v>
      </c>
      <c r="D255" s="466"/>
      <c r="E255" s="599"/>
      <c r="F255" s="893">
        <f t="shared" si="21"/>
        <v>0</v>
      </c>
    </row>
    <row r="256" spans="1:6" s="13" customFormat="1" hidden="1" x14ac:dyDescent="0.3">
      <c r="A256" s="1667"/>
      <c r="B256" s="306"/>
      <c r="C256" s="466">
        <f t="shared" si="26"/>
        <v>0</v>
      </c>
      <c r="D256" s="466"/>
      <c r="E256" s="599"/>
      <c r="F256" s="893">
        <f t="shared" si="21"/>
        <v>0</v>
      </c>
    </row>
    <row r="257" spans="1:6" s="13" customFormat="1" hidden="1" x14ac:dyDescent="0.3">
      <c r="A257" s="1667"/>
      <c r="B257" s="306"/>
      <c r="C257" s="466">
        <f t="shared" si="26"/>
        <v>0</v>
      </c>
      <c r="D257" s="466"/>
      <c r="E257" s="599"/>
      <c r="F257" s="893">
        <f t="shared" si="21"/>
        <v>0</v>
      </c>
    </row>
    <row r="258" spans="1:6" s="13" customFormat="1" hidden="1" x14ac:dyDescent="0.3">
      <c r="A258" s="1667"/>
      <c r="B258" s="306"/>
      <c r="C258" s="466">
        <f t="shared" si="26"/>
        <v>0</v>
      </c>
      <c r="D258" s="466"/>
      <c r="E258" s="599"/>
      <c r="F258" s="893">
        <f t="shared" si="21"/>
        <v>0</v>
      </c>
    </row>
    <row r="259" spans="1:6" s="13" customFormat="1" hidden="1" x14ac:dyDescent="0.3">
      <c r="A259" s="1667"/>
      <c r="B259" s="306"/>
      <c r="C259" s="466">
        <f t="shared" si="26"/>
        <v>0</v>
      </c>
      <c r="D259" s="466"/>
      <c r="E259" s="599"/>
      <c r="F259" s="893">
        <f t="shared" si="21"/>
        <v>0</v>
      </c>
    </row>
    <row r="260" spans="1:6" s="13" customFormat="1" hidden="1" x14ac:dyDescent="0.3">
      <c r="A260" s="1667"/>
      <c r="B260" s="306"/>
      <c r="C260" s="466">
        <f t="shared" si="26"/>
        <v>0</v>
      </c>
      <c r="D260" s="466"/>
      <c r="E260" s="599"/>
      <c r="F260" s="893">
        <f t="shared" si="21"/>
        <v>0</v>
      </c>
    </row>
    <row r="261" spans="1:6" s="13" customFormat="1" hidden="1" x14ac:dyDescent="0.3">
      <c r="A261" s="1673"/>
      <c r="B261" s="306" t="s">
        <v>740</v>
      </c>
      <c r="C261" s="466">
        <f>SUM(C251:C260)</f>
        <v>0</v>
      </c>
      <c r="D261" s="466">
        <f>SUM(D251:D260)</f>
        <v>0</v>
      </c>
      <c r="E261" s="466">
        <f>SUM(E251:E260)</f>
        <v>0</v>
      </c>
      <c r="F261" s="893">
        <f t="shared" si="21"/>
        <v>0</v>
      </c>
    </row>
    <row r="262" spans="1:6" ht="150" x14ac:dyDescent="0.3">
      <c r="A262" s="1674" t="s">
        <v>1091</v>
      </c>
      <c r="B262" s="506" t="s">
        <v>1841</v>
      </c>
      <c r="C262" s="892">
        <f>D262+E262</f>
        <v>11000</v>
      </c>
      <c r="D262" s="892"/>
      <c r="E262" s="892">
        <v>11000</v>
      </c>
      <c r="F262" s="893">
        <f t="shared" si="21"/>
        <v>22000</v>
      </c>
    </row>
    <row r="263" spans="1:6" s="13" customFormat="1" hidden="1" x14ac:dyDescent="0.3">
      <c r="A263" s="1667"/>
      <c r="B263" s="306"/>
      <c r="C263" s="466">
        <f t="shared" ref="C263:C271" si="27">SUM(D263:E263)</f>
        <v>0</v>
      </c>
      <c r="D263" s="466"/>
      <c r="E263" s="599"/>
      <c r="F263" s="893">
        <f t="shared" si="21"/>
        <v>0</v>
      </c>
    </row>
    <row r="264" spans="1:6" s="13" customFormat="1" hidden="1" x14ac:dyDescent="0.3">
      <c r="A264" s="1667"/>
      <c r="B264" s="306"/>
      <c r="C264" s="466">
        <f t="shared" si="27"/>
        <v>0</v>
      </c>
      <c r="D264" s="466"/>
      <c r="E264" s="599"/>
      <c r="F264" s="893">
        <f t="shared" si="21"/>
        <v>0</v>
      </c>
    </row>
    <row r="265" spans="1:6" s="13" customFormat="1" hidden="1" x14ac:dyDescent="0.3">
      <c r="A265" s="1667"/>
      <c r="B265" s="306"/>
      <c r="C265" s="466">
        <f t="shared" si="27"/>
        <v>0</v>
      </c>
      <c r="D265" s="466"/>
      <c r="E265" s="599"/>
      <c r="F265" s="893">
        <f t="shared" si="21"/>
        <v>0</v>
      </c>
    </row>
    <row r="266" spans="1:6" s="13" customFormat="1" hidden="1" x14ac:dyDescent="0.3">
      <c r="A266" s="1667"/>
      <c r="B266" s="306"/>
      <c r="C266" s="466">
        <f t="shared" si="27"/>
        <v>0</v>
      </c>
      <c r="D266" s="466"/>
      <c r="E266" s="599"/>
      <c r="F266" s="893">
        <f t="shared" si="21"/>
        <v>0</v>
      </c>
    </row>
    <row r="267" spans="1:6" s="13" customFormat="1" hidden="1" x14ac:dyDescent="0.3">
      <c r="A267" s="1667"/>
      <c r="B267" s="306"/>
      <c r="C267" s="466">
        <f t="shared" si="27"/>
        <v>0</v>
      </c>
      <c r="D267" s="466"/>
      <c r="E267" s="599"/>
      <c r="F267" s="893">
        <f t="shared" ref="F267:F330" si="28">SUM(C267:E267)</f>
        <v>0</v>
      </c>
    </row>
    <row r="268" spans="1:6" s="13" customFormat="1" hidden="1" x14ac:dyDescent="0.3">
      <c r="A268" s="1667"/>
      <c r="B268" s="306"/>
      <c r="C268" s="466">
        <f t="shared" si="27"/>
        <v>0</v>
      </c>
      <c r="D268" s="466"/>
      <c r="E268" s="599"/>
      <c r="F268" s="893">
        <f t="shared" si="28"/>
        <v>0</v>
      </c>
    </row>
    <row r="269" spans="1:6" s="13" customFormat="1" hidden="1" x14ac:dyDescent="0.3">
      <c r="A269" s="1667"/>
      <c r="B269" s="306"/>
      <c r="C269" s="466">
        <f t="shared" si="27"/>
        <v>0</v>
      </c>
      <c r="D269" s="466"/>
      <c r="E269" s="599"/>
      <c r="F269" s="893">
        <f t="shared" si="28"/>
        <v>0</v>
      </c>
    </row>
    <row r="270" spans="1:6" s="13" customFormat="1" hidden="1" x14ac:dyDescent="0.3">
      <c r="A270" s="1667"/>
      <c r="B270" s="306"/>
      <c r="C270" s="466">
        <f t="shared" si="27"/>
        <v>0</v>
      </c>
      <c r="D270" s="466"/>
      <c r="E270" s="599"/>
      <c r="F270" s="893">
        <f t="shared" si="28"/>
        <v>0</v>
      </c>
    </row>
    <row r="271" spans="1:6" s="13" customFormat="1" hidden="1" x14ac:dyDescent="0.3">
      <c r="A271" s="1667"/>
      <c r="B271" s="306"/>
      <c r="C271" s="466">
        <f t="shared" si="27"/>
        <v>0</v>
      </c>
      <c r="D271" s="466"/>
      <c r="E271" s="599"/>
      <c r="F271" s="893">
        <f t="shared" si="28"/>
        <v>0</v>
      </c>
    </row>
    <row r="272" spans="1:6" x14ac:dyDescent="0.3">
      <c r="A272" s="1675"/>
      <c r="B272" s="815" t="s">
        <v>740</v>
      </c>
      <c r="C272" s="1438">
        <f>SUM(C262:C271)</f>
        <v>11000</v>
      </c>
      <c r="D272" s="1438">
        <f>SUM(D262:D271)</f>
        <v>0</v>
      </c>
      <c r="E272" s="1438">
        <f>SUM(E262:E271)</f>
        <v>11000</v>
      </c>
      <c r="F272" s="893">
        <f t="shared" si="28"/>
        <v>22000</v>
      </c>
    </row>
    <row r="273" spans="1:6" s="13" customFormat="1" hidden="1" x14ac:dyDescent="0.3">
      <c r="A273" s="1669" t="s">
        <v>1092</v>
      </c>
      <c r="B273" s="306"/>
      <c r="C273" s="466">
        <f>SUM(D273:E273)</f>
        <v>0</v>
      </c>
      <c r="D273" s="466"/>
      <c r="E273" s="599"/>
      <c r="F273" s="893">
        <f t="shared" si="28"/>
        <v>0</v>
      </c>
    </row>
    <row r="274" spans="1:6" s="13" customFormat="1" hidden="1" x14ac:dyDescent="0.3">
      <c r="A274" s="1667"/>
      <c r="B274" s="306"/>
      <c r="C274" s="466">
        <f t="shared" ref="C274:C282" si="29">SUM(D274:E274)</f>
        <v>0</v>
      </c>
      <c r="D274" s="466"/>
      <c r="E274" s="599"/>
      <c r="F274" s="893">
        <f t="shared" si="28"/>
        <v>0</v>
      </c>
    </row>
    <row r="275" spans="1:6" s="13" customFormat="1" hidden="1" x14ac:dyDescent="0.3">
      <c r="A275" s="1667"/>
      <c r="B275" s="306"/>
      <c r="C275" s="466">
        <f t="shared" si="29"/>
        <v>0</v>
      </c>
      <c r="D275" s="466"/>
      <c r="E275" s="599"/>
      <c r="F275" s="893">
        <f t="shared" si="28"/>
        <v>0</v>
      </c>
    </row>
    <row r="276" spans="1:6" s="13" customFormat="1" hidden="1" x14ac:dyDescent="0.3">
      <c r="A276" s="1667"/>
      <c r="B276" s="306"/>
      <c r="C276" s="466">
        <f t="shared" si="29"/>
        <v>0</v>
      </c>
      <c r="D276" s="466"/>
      <c r="E276" s="599"/>
      <c r="F276" s="893">
        <f t="shared" si="28"/>
        <v>0</v>
      </c>
    </row>
    <row r="277" spans="1:6" s="13" customFormat="1" hidden="1" x14ac:dyDescent="0.3">
      <c r="A277" s="1667"/>
      <c r="B277" s="306"/>
      <c r="C277" s="466">
        <f t="shared" si="29"/>
        <v>0</v>
      </c>
      <c r="D277" s="466"/>
      <c r="E277" s="599"/>
      <c r="F277" s="893">
        <f t="shared" si="28"/>
        <v>0</v>
      </c>
    </row>
    <row r="278" spans="1:6" s="13" customFormat="1" hidden="1" x14ac:dyDescent="0.3">
      <c r="A278" s="1667"/>
      <c r="B278" s="306"/>
      <c r="C278" s="466">
        <f t="shared" si="29"/>
        <v>0</v>
      </c>
      <c r="D278" s="466"/>
      <c r="E278" s="599"/>
      <c r="F278" s="893">
        <f t="shared" si="28"/>
        <v>0</v>
      </c>
    </row>
    <row r="279" spans="1:6" s="13" customFormat="1" hidden="1" x14ac:dyDescent="0.3">
      <c r="A279" s="1667"/>
      <c r="B279" s="306"/>
      <c r="C279" s="466">
        <f t="shared" si="29"/>
        <v>0</v>
      </c>
      <c r="D279" s="466"/>
      <c r="E279" s="599"/>
      <c r="F279" s="893">
        <f t="shared" si="28"/>
        <v>0</v>
      </c>
    </row>
    <row r="280" spans="1:6" s="13" customFormat="1" hidden="1" x14ac:dyDescent="0.3">
      <c r="A280" s="1667"/>
      <c r="B280" s="306"/>
      <c r="C280" s="466">
        <f t="shared" si="29"/>
        <v>0</v>
      </c>
      <c r="D280" s="466"/>
      <c r="E280" s="599"/>
      <c r="F280" s="893">
        <f t="shared" si="28"/>
        <v>0</v>
      </c>
    </row>
    <row r="281" spans="1:6" s="13" customFormat="1" hidden="1" x14ac:dyDescent="0.3">
      <c r="A281" s="1667"/>
      <c r="B281" s="306"/>
      <c r="C281" s="466">
        <f t="shared" si="29"/>
        <v>0</v>
      </c>
      <c r="D281" s="466"/>
      <c r="E281" s="599"/>
      <c r="F281" s="893">
        <f t="shared" si="28"/>
        <v>0</v>
      </c>
    </row>
    <row r="282" spans="1:6" s="13" customFormat="1" hidden="1" x14ac:dyDescent="0.3">
      <c r="A282" s="1667"/>
      <c r="B282" s="306"/>
      <c r="C282" s="466">
        <f t="shared" si="29"/>
        <v>0</v>
      </c>
      <c r="D282" s="466"/>
      <c r="E282" s="599"/>
      <c r="F282" s="893">
        <f t="shared" si="28"/>
        <v>0</v>
      </c>
    </row>
    <row r="283" spans="1:6" s="13" customFormat="1" hidden="1" x14ac:dyDescent="0.3">
      <c r="A283" s="1673"/>
      <c r="B283" s="306" t="s">
        <v>740</v>
      </c>
      <c r="C283" s="466">
        <f>SUM(C273:C282)</f>
        <v>0</v>
      </c>
      <c r="D283" s="466">
        <f>SUM(D273:D282)</f>
        <v>0</v>
      </c>
      <c r="E283" s="466">
        <f>SUM(E273:E282)</f>
        <v>0</v>
      </c>
      <c r="F283" s="893">
        <f t="shared" si="28"/>
        <v>0</v>
      </c>
    </row>
    <row r="284" spans="1:6" s="13" customFormat="1" hidden="1" x14ac:dyDescent="0.3">
      <c r="A284" s="1669" t="s">
        <v>1093</v>
      </c>
      <c r="B284" s="85"/>
      <c r="C284" s="565"/>
      <c r="D284" s="565"/>
      <c r="E284" s="892"/>
      <c r="F284" s="893">
        <f t="shared" si="28"/>
        <v>0</v>
      </c>
    </row>
    <row r="285" spans="1:6" s="13" customFormat="1" hidden="1" x14ac:dyDescent="0.3">
      <c r="A285" s="1667"/>
      <c r="B285" s="306"/>
      <c r="C285" s="466">
        <f t="shared" ref="C285:C293" si="30">SUM(D285:E285)</f>
        <v>0</v>
      </c>
      <c r="D285" s="466"/>
      <c r="E285" s="599"/>
      <c r="F285" s="893">
        <f t="shared" si="28"/>
        <v>0</v>
      </c>
    </row>
    <row r="286" spans="1:6" s="13" customFormat="1" hidden="1" x14ac:dyDescent="0.3">
      <c r="A286" s="1667"/>
      <c r="B286" s="306"/>
      <c r="C286" s="466">
        <f t="shared" si="30"/>
        <v>0</v>
      </c>
      <c r="D286" s="466"/>
      <c r="E286" s="599"/>
      <c r="F286" s="893">
        <f t="shared" si="28"/>
        <v>0</v>
      </c>
    </row>
    <row r="287" spans="1:6" s="13" customFormat="1" hidden="1" x14ac:dyDescent="0.3">
      <c r="A287" s="1667"/>
      <c r="B287" s="306"/>
      <c r="C287" s="466">
        <f t="shared" si="30"/>
        <v>0</v>
      </c>
      <c r="D287" s="466"/>
      <c r="E287" s="599"/>
      <c r="F287" s="893">
        <f t="shared" si="28"/>
        <v>0</v>
      </c>
    </row>
    <row r="288" spans="1:6" s="13" customFormat="1" hidden="1" x14ac:dyDescent="0.3">
      <c r="A288" s="1667"/>
      <c r="B288" s="306"/>
      <c r="C288" s="466">
        <f t="shared" si="30"/>
        <v>0</v>
      </c>
      <c r="D288" s="466"/>
      <c r="E288" s="599"/>
      <c r="F288" s="893">
        <f t="shared" si="28"/>
        <v>0</v>
      </c>
    </row>
    <row r="289" spans="1:6" s="13" customFormat="1" hidden="1" x14ac:dyDescent="0.3">
      <c r="A289" s="1667"/>
      <c r="B289" s="306"/>
      <c r="C289" s="466">
        <f t="shared" si="30"/>
        <v>0</v>
      </c>
      <c r="D289" s="466"/>
      <c r="E289" s="599"/>
      <c r="F289" s="893">
        <f t="shared" si="28"/>
        <v>0</v>
      </c>
    </row>
    <row r="290" spans="1:6" s="13" customFormat="1" hidden="1" x14ac:dyDescent="0.3">
      <c r="A290" s="1667"/>
      <c r="B290" s="306"/>
      <c r="C290" s="466">
        <f t="shared" si="30"/>
        <v>0</v>
      </c>
      <c r="D290" s="466"/>
      <c r="E290" s="599"/>
      <c r="F290" s="893">
        <f t="shared" si="28"/>
        <v>0</v>
      </c>
    </row>
    <row r="291" spans="1:6" s="13" customFormat="1" hidden="1" x14ac:dyDescent="0.3">
      <c r="A291" s="1667"/>
      <c r="B291" s="306"/>
      <c r="C291" s="466">
        <f t="shared" si="30"/>
        <v>0</v>
      </c>
      <c r="D291" s="466"/>
      <c r="E291" s="599"/>
      <c r="F291" s="893">
        <f t="shared" si="28"/>
        <v>0</v>
      </c>
    </row>
    <row r="292" spans="1:6" s="13" customFormat="1" hidden="1" x14ac:dyDescent="0.3">
      <c r="A292" s="1667"/>
      <c r="B292" s="306"/>
      <c r="C292" s="466">
        <f t="shared" si="30"/>
        <v>0</v>
      </c>
      <c r="D292" s="466"/>
      <c r="E292" s="599"/>
      <c r="F292" s="893">
        <f t="shared" si="28"/>
        <v>0</v>
      </c>
    </row>
    <row r="293" spans="1:6" s="13" customFormat="1" hidden="1" x14ac:dyDescent="0.3">
      <c r="A293" s="1667"/>
      <c r="B293" s="306"/>
      <c r="C293" s="466">
        <f t="shared" si="30"/>
        <v>0</v>
      </c>
      <c r="D293" s="466"/>
      <c r="E293" s="599"/>
      <c r="F293" s="893">
        <f t="shared" si="28"/>
        <v>0</v>
      </c>
    </row>
    <row r="294" spans="1:6" s="13" customFormat="1" hidden="1" x14ac:dyDescent="0.3">
      <c r="A294" s="1673"/>
      <c r="B294" s="306" t="s">
        <v>740</v>
      </c>
      <c r="C294" s="466">
        <f>SUM(C284:C293)</f>
        <v>0</v>
      </c>
      <c r="D294" s="466">
        <f>SUM(D284:D293)</f>
        <v>0</v>
      </c>
      <c r="E294" s="466">
        <f>SUM(E284:E293)</f>
        <v>0</v>
      </c>
      <c r="F294" s="893">
        <f t="shared" si="28"/>
        <v>0</v>
      </c>
    </row>
    <row r="295" spans="1:6" s="13" customFormat="1" hidden="1" x14ac:dyDescent="0.3">
      <c r="A295" s="1669" t="s">
        <v>1094</v>
      </c>
      <c r="B295" s="306"/>
      <c r="C295" s="466">
        <f>SUM(D295:E295)</f>
        <v>0</v>
      </c>
      <c r="D295" s="466"/>
      <c r="E295" s="599"/>
      <c r="F295" s="893">
        <f t="shared" si="28"/>
        <v>0</v>
      </c>
    </row>
    <row r="296" spans="1:6" s="13" customFormat="1" hidden="1" x14ac:dyDescent="0.3">
      <c r="A296" s="1667"/>
      <c r="B296" s="306"/>
      <c r="C296" s="466">
        <f t="shared" ref="C296:C304" si="31">SUM(D296:E296)</f>
        <v>0</v>
      </c>
      <c r="D296" s="466"/>
      <c r="E296" s="599"/>
      <c r="F296" s="893">
        <f t="shared" si="28"/>
        <v>0</v>
      </c>
    </row>
    <row r="297" spans="1:6" s="13" customFormat="1" hidden="1" x14ac:dyDescent="0.3">
      <c r="A297" s="1667"/>
      <c r="B297" s="306"/>
      <c r="C297" s="466">
        <f t="shared" si="31"/>
        <v>0</v>
      </c>
      <c r="D297" s="466"/>
      <c r="E297" s="599"/>
      <c r="F297" s="893">
        <f t="shared" si="28"/>
        <v>0</v>
      </c>
    </row>
    <row r="298" spans="1:6" s="13" customFormat="1" hidden="1" x14ac:dyDescent="0.3">
      <c r="A298" s="1667"/>
      <c r="B298" s="306"/>
      <c r="C298" s="466">
        <f t="shared" si="31"/>
        <v>0</v>
      </c>
      <c r="D298" s="466"/>
      <c r="E298" s="599"/>
      <c r="F298" s="893">
        <f t="shared" si="28"/>
        <v>0</v>
      </c>
    </row>
    <row r="299" spans="1:6" s="13" customFormat="1" hidden="1" x14ac:dyDescent="0.3">
      <c r="A299" s="1667"/>
      <c r="B299" s="306"/>
      <c r="C299" s="466">
        <f t="shared" si="31"/>
        <v>0</v>
      </c>
      <c r="D299" s="466"/>
      <c r="E299" s="599"/>
      <c r="F299" s="893">
        <f t="shared" si="28"/>
        <v>0</v>
      </c>
    </row>
    <row r="300" spans="1:6" s="13" customFormat="1" hidden="1" x14ac:dyDescent="0.3">
      <c r="A300" s="1667"/>
      <c r="B300" s="306"/>
      <c r="C300" s="466">
        <f t="shared" si="31"/>
        <v>0</v>
      </c>
      <c r="D300" s="466"/>
      <c r="E300" s="599"/>
      <c r="F300" s="893">
        <f t="shared" si="28"/>
        <v>0</v>
      </c>
    </row>
    <row r="301" spans="1:6" s="13" customFormat="1" hidden="1" x14ac:dyDescent="0.3">
      <c r="A301" s="1667"/>
      <c r="B301" s="306"/>
      <c r="C301" s="466">
        <f t="shared" si="31"/>
        <v>0</v>
      </c>
      <c r="D301" s="466"/>
      <c r="E301" s="599"/>
      <c r="F301" s="893">
        <f t="shared" si="28"/>
        <v>0</v>
      </c>
    </row>
    <row r="302" spans="1:6" s="13" customFormat="1" hidden="1" x14ac:dyDescent="0.3">
      <c r="A302" s="1667"/>
      <c r="B302" s="306"/>
      <c r="C302" s="466">
        <f t="shared" si="31"/>
        <v>0</v>
      </c>
      <c r="D302" s="466"/>
      <c r="E302" s="599"/>
      <c r="F302" s="893">
        <f t="shared" si="28"/>
        <v>0</v>
      </c>
    </row>
    <row r="303" spans="1:6" s="13" customFormat="1" hidden="1" x14ac:dyDescent="0.3">
      <c r="A303" s="1667"/>
      <c r="B303" s="306"/>
      <c r="C303" s="466">
        <f t="shared" si="31"/>
        <v>0</v>
      </c>
      <c r="D303" s="466"/>
      <c r="E303" s="599"/>
      <c r="F303" s="893">
        <f t="shared" si="28"/>
        <v>0</v>
      </c>
    </row>
    <row r="304" spans="1:6" s="13" customFormat="1" hidden="1" x14ac:dyDescent="0.3">
      <c r="A304" s="1667"/>
      <c r="B304" s="306"/>
      <c r="C304" s="466">
        <f t="shared" si="31"/>
        <v>0</v>
      </c>
      <c r="D304" s="466"/>
      <c r="E304" s="599"/>
      <c r="F304" s="893">
        <f t="shared" si="28"/>
        <v>0</v>
      </c>
    </row>
    <row r="305" spans="1:6" s="13" customFormat="1" hidden="1" x14ac:dyDescent="0.3">
      <c r="A305" s="1673"/>
      <c r="B305" s="306" t="s">
        <v>740</v>
      </c>
      <c r="C305" s="466">
        <f>SUM(C295:C304)</f>
        <v>0</v>
      </c>
      <c r="D305" s="466">
        <f>SUM(D295:D304)</f>
        <v>0</v>
      </c>
      <c r="E305" s="466">
        <f>SUM(E295:E304)</f>
        <v>0</v>
      </c>
      <c r="F305" s="893">
        <f t="shared" si="28"/>
        <v>0</v>
      </c>
    </row>
    <row r="306" spans="1:6" s="13" customFormat="1" hidden="1" x14ac:dyDescent="0.3">
      <c r="A306" s="1669" t="s">
        <v>1095</v>
      </c>
      <c r="B306" s="306"/>
      <c r="C306" s="466">
        <f>SUM(D306:E306)</f>
        <v>0</v>
      </c>
      <c r="D306" s="466"/>
      <c r="E306" s="599"/>
      <c r="F306" s="893">
        <f t="shared" si="28"/>
        <v>0</v>
      </c>
    </row>
    <row r="307" spans="1:6" s="13" customFormat="1" hidden="1" x14ac:dyDescent="0.3">
      <c r="A307" s="1667"/>
      <c r="B307" s="306"/>
      <c r="C307" s="466">
        <f t="shared" ref="C307:C315" si="32">SUM(D307:E307)</f>
        <v>0</v>
      </c>
      <c r="D307" s="466"/>
      <c r="E307" s="599"/>
      <c r="F307" s="893">
        <f t="shared" si="28"/>
        <v>0</v>
      </c>
    </row>
    <row r="308" spans="1:6" s="13" customFormat="1" hidden="1" x14ac:dyDescent="0.3">
      <c r="A308" s="1667"/>
      <c r="B308" s="306"/>
      <c r="C308" s="466">
        <f t="shared" si="32"/>
        <v>0</v>
      </c>
      <c r="D308" s="466"/>
      <c r="E308" s="599"/>
      <c r="F308" s="893">
        <f t="shared" si="28"/>
        <v>0</v>
      </c>
    </row>
    <row r="309" spans="1:6" s="13" customFormat="1" hidden="1" x14ac:dyDescent="0.3">
      <c r="A309" s="1667"/>
      <c r="B309" s="306"/>
      <c r="C309" s="466">
        <f t="shared" si="32"/>
        <v>0</v>
      </c>
      <c r="D309" s="466"/>
      <c r="E309" s="599"/>
      <c r="F309" s="893">
        <f t="shared" si="28"/>
        <v>0</v>
      </c>
    </row>
    <row r="310" spans="1:6" s="13" customFormat="1" hidden="1" x14ac:dyDescent="0.3">
      <c r="A310" s="1667"/>
      <c r="B310" s="306"/>
      <c r="C310" s="466">
        <f t="shared" si="32"/>
        <v>0</v>
      </c>
      <c r="D310" s="466"/>
      <c r="E310" s="599"/>
      <c r="F310" s="893">
        <f t="shared" si="28"/>
        <v>0</v>
      </c>
    </row>
    <row r="311" spans="1:6" s="13" customFormat="1" hidden="1" x14ac:dyDescent="0.3">
      <c r="A311" s="1667"/>
      <c r="B311" s="306"/>
      <c r="C311" s="466">
        <f t="shared" si="32"/>
        <v>0</v>
      </c>
      <c r="D311" s="466"/>
      <c r="E311" s="599"/>
      <c r="F311" s="893">
        <f t="shared" si="28"/>
        <v>0</v>
      </c>
    </row>
    <row r="312" spans="1:6" s="13" customFormat="1" hidden="1" x14ac:dyDescent="0.3">
      <c r="A312" s="1667"/>
      <c r="B312" s="306"/>
      <c r="C312" s="466">
        <f t="shared" si="32"/>
        <v>0</v>
      </c>
      <c r="D312" s="466"/>
      <c r="E312" s="599"/>
      <c r="F312" s="893">
        <f t="shared" si="28"/>
        <v>0</v>
      </c>
    </row>
    <row r="313" spans="1:6" s="13" customFormat="1" hidden="1" x14ac:dyDescent="0.3">
      <c r="A313" s="1667"/>
      <c r="B313" s="306"/>
      <c r="C313" s="466">
        <f t="shared" si="32"/>
        <v>0</v>
      </c>
      <c r="D313" s="466"/>
      <c r="E313" s="599"/>
      <c r="F313" s="893">
        <f t="shared" si="28"/>
        <v>0</v>
      </c>
    </row>
    <row r="314" spans="1:6" s="13" customFormat="1" hidden="1" x14ac:dyDescent="0.3">
      <c r="A314" s="1667"/>
      <c r="B314" s="306"/>
      <c r="C314" s="466">
        <f t="shared" si="32"/>
        <v>0</v>
      </c>
      <c r="D314" s="466"/>
      <c r="E314" s="599"/>
      <c r="F314" s="893">
        <f t="shared" si="28"/>
        <v>0</v>
      </c>
    </row>
    <row r="315" spans="1:6" s="13" customFormat="1" hidden="1" x14ac:dyDescent="0.3">
      <c r="A315" s="1667"/>
      <c r="B315" s="306"/>
      <c r="C315" s="466">
        <f t="shared" si="32"/>
        <v>0</v>
      </c>
      <c r="D315" s="466"/>
      <c r="E315" s="599"/>
      <c r="F315" s="893">
        <f t="shared" si="28"/>
        <v>0</v>
      </c>
    </row>
    <row r="316" spans="1:6" s="13" customFormat="1" hidden="1" x14ac:dyDescent="0.3">
      <c r="A316" s="1673"/>
      <c r="B316" s="306" t="s">
        <v>740</v>
      </c>
      <c r="C316" s="466">
        <f>SUM(C306:C315)</f>
        <v>0</v>
      </c>
      <c r="D316" s="466">
        <f>SUM(D306:D315)</f>
        <v>0</v>
      </c>
      <c r="E316" s="466">
        <f>SUM(E306:E315)</f>
        <v>0</v>
      </c>
      <c r="F316" s="893">
        <f t="shared" si="28"/>
        <v>0</v>
      </c>
    </row>
    <row r="317" spans="1:6" s="13" customFormat="1" hidden="1" x14ac:dyDescent="0.3">
      <c r="A317" s="1669" t="s">
        <v>1096</v>
      </c>
      <c r="B317" s="306"/>
      <c r="C317" s="466">
        <f>SUM(D317:E317)</f>
        <v>0</v>
      </c>
      <c r="D317" s="466"/>
      <c r="E317" s="599"/>
      <c r="F317" s="893">
        <f t="shared" si="28"/>
        <v>0</v>
      </c>
    </row>
    <row r="318" spans="1:6" s="13" customFormat="1" hidden="1" x14ac:dyDescent="0.3">
      <c r="A318" s="1667"/>
      <c r="B318" s="306"/>
      <c r="C318" s="466">
        <f t="shared" ref="C318:C326" si="33">SUM(D318:E318)</f>
        <v>0</v>
      </c>
      <c r="D318" s="466"/>
      <c r="E318" s="599"/>
      <c r="F318" s="893">
        <f t="shared" si="28"/>
        <v>0</v>
      </c>
    </row>
    <row r="319" spans="1:6" s="13" customFormat="1" hidden="1" x14ac:dyDescent="0.3">
      <c r="A319" s="1667"/>
      <c r="B319" s="306"/>
      <c r="C319" s="466">
        <f t="shared" si="33"/>
        <v>0</v>
      </c>
      <c r="D319" s="466"/>
      <c r="E319" s="599"/>
      <c r="F319" s="893">
        <f t="shared" si="28"/>
        <v>0</v>
      </c>
    </row>
    <row r="320" spans="1:6" s="13" customFormat="1" hidden="1" x14ac:dyDescent="0.3">
      <c r="A320" s="1667"/>
      <c r="B320" s="306"/>
      <c r="C320" s="466">
        <f t="shared" si="33"/>
        <v>0</v>
      </c>
      <c r="D320" s="466"/>
      <c r="E320" s="599"/>
      <c r="F320" s="893">
        <f t="shared" si="28"/>
        <v>0</v>
      </c>
    </row>
    <row r="321" spans="1:6" s="13" customFormat="1" hidden="1" x14ac:dyDescent="0.3">
      <c r="A321" s="1667"/>
      <c r="B321" s="306"/>
      <c r="C321" s="466">
        <f t="shared" si="33"/>
        <v>0</v>
      </c>
      <c r="D321" s="466"/>
      <c r="E321" s="599"/>
      <c r="F321" s="893">
        <f t="shared" si="28"/>
        <v>0</v>
      </c>
    </row>
    <row r="322" spans="1:6" s="13" customFormat="1" hidden="1" x14ac:dyDescent="0.3">
      <c r="A322" s="1667"/>
      <c r="B322" s="306"/>
      <c r="C322" s="466">
        <f t="shared" si="33"/>
        <v>0</v>
      </c>
      <c r="D322" s="466"/>
      <c r="E322" s="599"/>
      <c r="F322" s="893">
        <f t="shared" si="28"/>
        <v>0</v>
      </c>
    </row>
    <row r="323" spans="1:6" s="13" customFormat="1" hidden="1" x14ac:dyDescent="0.3">
      <c r="A323" s="1667"/>
      <c r="B323" s="306"/>
      <c r="C323" s="466">
        <f t="shared" si="33"/>
        <v>0</v>
      </c>
      <c r="D323" s="466"/>
      <c r="E323" s="599"/>
      <c r="F323" s="893">
        <f t="shared" si="28"/>
        <v>0</v>
      </c>
    </row>
    <row r="324" spans="1:6" s="13" customFormat="1" hidden="1" x14ac:dyDescent="0.3">
      <c r="A324" s="1667"/>
      <c r="B324" s="306"/>
      <c r="C324" s="466">
        <f t="shared" si="33"/>
        <v>0</v>
      </c>
      <c r="D324" s="466"/>
      <c r="E324" s="599"/>
      <c r="F324" s="893">
        <f t="shared" si="28"/>
        <v>0</v>
      </c>
    </row>
    <row r="325" spans="1:6" s="13" customFormat="1" hidden="1" x14ac:dyDescent="0.3">
      <c r="A325" s="1667"/>
      <c r="B325" s="306"/>
      <c r="C325" s="466">
        <f t="shared" si="33"/>
        <v>0</v>
      </c>
      <c r="D325" s="466"/>
      <c r="E325" s="599"/>
      <c r="F325" s="893">
        <f t="shared" si="28"/>
        <v>0</v>
      </c>
    </row>
    <row r="326" spans="1:6" s="13" customFormat="1" hidden="1" x14ac:dyDescent="0.3">
      <c r="A326" s="1667"/>
      <c r="B326" s="306"/>
      <c r="C326" s="466">
        <f t="shared" si="33"/>
        <v>0</v>
      </c>
      <c r="D326" s="466"/>
      <c r="E326" s="599"/>
      <c r="F326" s="893">
        <f t="shared" si="28"/>
        <v>0</v>
      </c>
    </row>
    <row r="327" spans="1:6" s="13" customFormat="1" hidden="1" x14ac:dyDescent="0.3">
      <c r="A327" s="1673"/>
      <c r="B327" s="306" t="s">
        <v>740</v>
      </c>
      <c r="C327" s="466">
        <f>SUM(C317:C326)</f>
        <v>0</v>
      </c>
      <c r="D327" s="466">
        <f>SUM(D317:D326)</f>
        <v>0</v>
      </c>
      <c r="E327" s="466">
        <f>SUM(E317:E326)</f>
        <v>0</v>
      </c>
      <c r="F327" s="893">
        <f t="shared" si="28"/>
        <v>0</v>
      </c>
    </row>
    <row r="328" spans="1:6" s="13" customFormat="1" hidden="1" x14ac:dyDescent="0.3">
      <c r="A328" s="1669" t="s">
        <v>1097</v>
      </c>
      <c r="B328" s="306"/>
      <c r="C328" s="466">
        <f>SUM(D328:E328)</f>
        <v>0</v>
      </c>
      <c r="D328" s="466"/>
      <c r="E328" s="599"/>
      <c r="F328" s="893">
        <f t="shared" si="28"/>
        <v>0</v>
      </c>
    </row>
    <row r="329" spans="1:6" s="13" customFormat="1" hidden="1" x14ac:dyDescent="0.3">
      <c r="A329" s="1667"/>
      <c r="B329" s="306"/>
      <c r="C329" s="466">
        <f t="shared" ref="C329:C337" si="34">SUM(D329:E329)</f>
        <v>0</v>
      </c>
      <c r="D329" s="466"/>
      <c r="E329" s="599"/>
      <c r="F329" s="893">
        <f t="shared" si="28"/>
        <v>0</v>
      </c>
    </row>
    <row r="330" spans="1:6" s="13" customFormat="1" hidden="1" x14ac:dyDescent="0.3">
      <c r="A330" s="1667"/>
      <c r="B330" s="306"/>
      <c r="C330" s="466">
        <f t="shared" si="34"/>
        <v>0</v>
      </c>
      <c r="D330" s="466"/>
      <c r="E330" s="599"/>
      <c r="F330" s="893">
        <f t="shared" si="28"/>
        <v>0</v>
      </c>
    </row>
    <row r="331" spans="1:6" s="13" customFormat="1" hidden="1" x14ac:dyDescent="0.3">
      <c r="A331" s="1667"/>
      <c r="B331" s="306"/>
      <c r="C331" s="466">
        <f t="shared" si="34"/>
        <v>0</v>
      </c>
      <c r="D331" s="466"/>
      <c r="E331" s="599"/>
      <c r="F331" s="893">
        <f t="shared" ref="F331:F394" si="35">SUM(C331:E331)</f>
        <v>0</v>
      </c>
    </row>
    <row r="332" spans="1:6" s="13" customFormat="1" hidden="1" x14ac:dyDescent="0.3">
      <c r="A332" s="1667"/>
      <c r="B332" s="306"/>
      <c r="C332" s="466">
        <f t="shared" si="34"/>
        <v>0</v>
      </c>
      <c r="D332" s="466"/>
      <c r="E332" s="599"/>
      <c r="F332" s="893">
        <f t="shared" si="35"/>
        <v>0</v>
      </c>
    </row>
    <row r="333" spans="1:6" s="13" customFormat="1" hidden="1" x14ac:dyDescent="0.3">
      <c r="A333" s="1667"/>
      <c r="B333" s="306"/>
      <c r="C333" s="466">
        <f t="shared" si="34"/>
        <v>0</v>
      </c>
      <c r="D333" s="466"/>
      <c r="E333" s="599"/>
      <c r="F333" s="893">
        <f t="shared" si="35"/>
        <v>0</v>
      </c>
    </row>
    <row r="334" spans="1:6" s="13" customFormat="1" hidden="1" x14ac:dyDescent="0.3">
      <c r="A334" s="1667"/>
      <c r="B334" s="306"/>
      <c r="C334" s="466">
        <f t="shared" si="34"/>
        <v>0</v>
      </c>
      <c r="D334" s="466"/>
      <c r="E334" s="599"/>
      <c r="F334" s="893">
        <f t="shared" si="35"/>
        <v>0</v>
      </c>
    </row>
    <row r="335" spans="1:6" s="13" customFormat="1" hidden="1" x14ac:dyDescent="0.3">
      <c r="A335" s="1667"/>
      <c r="B335" s="306"/>
      <c r="C335" s="466">
        <f t="shared" si="34"/>
        <v>0</v>
      </c>
      <c r="D335" s="466"/>
      <c r="E335" s="599"/>
      <c r="F335" s="893">
        <f t="shared" si="35"/>
        <v>0</v>
      </c>
    </row>
    <row r="336" spans="1:6" s="13" customFormat="1" hidden="1" x14ac:dyDescent="0.3">
      <c r="A336" s="1667"/>
      <c r="B336" s="306"/>
      <c r="C336" s="466">
        <f t="shared" si="34"/>
        <v>0</v>
      </c>
      <c r="D336" s="466"/>
      <c r="E336" s="599"/>
      <c r="F336" s="893">
        <f t="shared" si="35"/>
        <v>0</v>
      </c>
    </row>
    <row r="337" spans="1:6" s="13" customFormat="1" hidden="1" x14ac:dyDescent="0.3">
      <c r="A337" s="1667"/>
      <c r="B337" s="306"/>
      <c r="C337" s="466">
        <f t="shared" si="34"/>
        <v>0</v>
      </c>
      <c r="D337" s="466"/>
      <c r="E337" s="599"/>
      <c r="F337" s="893">
        <f t="shared" si="35"/>
        <v>0</v>
      </c>
    </row>
    <row r="338" spans="1:6" s="13" customFormat="1" hidden="1" x14ac:dyDescent="0.3">
      <c r="A338" s="1673"/>
      <c r="B338" s="306" t="s">
        <v>740</v>
      </c>
      <c r="C338" s="466">
        <f>SUM(C328:C337)</f>
        <v>0</v>
      </c>
      <c r="D338" s="466">
        <f>SUM(D328:D337)</f>
        <v>0</v>
      </c>
      <c r="E338" s="466">
        <f>SUM(E328:E337)</f>
        <v>0</v>
      </c>
      <c r="F338" s="893">
        <f t="shared" si="35"/>
        <v>0</v>
      </c>
    </row>
    <row r="339" spans="1:6" s="13" customFormat="1" hidden="1" x14ac:dyDescent="0.3">
      <c r="A339" s="1669" t="s">
        <v>1098</v>
      </c>
      <c r="B339" s="306"/>
      <c r="C339" s="466">
        <f>SUM(D339:E339)</f>
        <v>0</v>
      </c>
      <c r="D339" s="466"/>
      <c r="E339" s="599"/>
      <c r="F339" s="893">
        <f t="shared" si="35"/>
        <v>0</v>
      </c>
    </row>
    <row r="340" spans="1:6" s="13" customFormat="1" hidden="1" x14ac:dyDescent="0.3">
      <c r="A340" s="1667"/>
      <c r="B340" s="306"/>
      <c r="C340" s="466">
        <f t="shared" ref="C340:C348" si="36">SUM(D340:E340)</f>
        <v>0</v>
      </c>
      <c r="D340" s="466"/>
      <c r="E340" s="599"/>
      <c r="F340" s="893">
        <f t="shared" si="35"/>
        <v>0</v>
      </c>
    </row>
    <row r="341" spans="1:6" s="13" customFormat="1" hidden="1" x14ac:dyDescent="0.3">
      <c r="A341" s="1667"/>
      <c r="B341" s="306"/>
      <c r="C341" s="466">
        <f t="shared" si="36"/>
        <v>0</v>
      </c>
      <c r="D341" s="466"/>
      <c r="E341" s="599"/>
      <c r="F341" s="893">
        <f t="shared" si="35"/>
        <v>0</v>
      </c>
    </row>
    <row r="342" spans="1:6" s="13" customFormat="1" hidden="1" x14ac:dyDescent="0.3">
      <c r="A342" s="1667"/>
      <c r="B342" s="306"/>
      <c r="C342" s="466">
        <f t="shared" si="36"/>
        <v>0</v>
      </c>
      <c r="D342" s="466"/>
      <c r="E342" s="599"/>
      <c r="F342" s="893">
        <f t="shared" si="35"/>
        <v>0</v>
      </c>
    </row>
    <row r="343" spans="1:6" s="13" customFormat="1" hidden="1" x14ac:dyDescent="0.3">
      <c r="A343" s="1667"/>
      <c r="B343" s="306"/>
      <c r="C343" s="466">
        <f t="shared" si="36"/>
        <v>0</v>
      </c>
      <c r="D343" s="466"/>
      <c r="E343" s="599"/>
      <c r="F343" s="893">
        <f t="shared" si="35"/>
        <v>0</v>
      </c>
    </row>
    <row r="344" spans="1:6" s="13" customFormat="1" hidden="1" x14ac:dyDescent="0.3">
      <c r="A344" s="1667"/>
      <c r="B344" s="306"/>
      <c r="C344" s="466">
        <f t="shared" si="36"/>
        <v>0</v>
      </c>
      <c r="D344" s="466"/>
      <c r="E344" s="599"/>
      <c r="F344" s="893">
        <f t="shared" si="35"/>
        <v>0</v>
      </c>
    </row>
    <row r="345" spans="1:6" s="13" customFormat="1" hidden="1" x14ac:dyDescent="0.3">
      <c r="A345" s="1667"/>
      <c r="B345" s="306"/>
      <c r="C345" s="466">
        <f t="shared" si="36"/>
        <v>0</v>
      </c>
      <c r="D345" s="466"/>
      <c r="E345" s="599"/>
      <c r="F345" s="893">
        <f t="shared" si="35"/>
        <v>0</v>
      </c>
    </row>
    <row r="346" spans="1:6" s="13" customFormat="1" hidden="1" x14ac:dyDescent="0.3">
      <c r="A346" s="1667"/>
      <c r="B346" s="306"/>
      <c r="C346" s="466">
        <f t="shared" si="36"/>
        <v>0</v>
      </c>
      <c r="D346" s="466"/>
      <c r="E346" s="599"/>
      <c r="F346" s="893">
        <f t="shared" si="35"/>
        <v>0</v>
      </c>
    </row>
    <row r="347" spans="1:6" s="13" customFormat="1" hidden="1" x14ac:dyDescent="0.3">
      <c r="A347" s="1667"/>
      <c r="B347" s="306"/>
      <c r="C347" s="466">
        <f t="shared" si="36"/>
        <v>0</v>
      </c>
      <c r="D347" s="466"/>
      <c r="E347" s="599"/>
      <c r="F347" s="893">
        <f t="shared" si="35"/>
        <v>0</v>
      </c>
    </row>
    <row r="348" spans="1:6" s="13" customFormat="1" hidden="1" x14ac:dyDescent="0.3">
      <c r="A348" s="1667"/>
      <c r="B348" s="306"/>
      <c r="C348" s="466">
        <f t="shared" si="36"/>
        <v>0</v>
      </c>
      <c r="D348" s="466"/>
      <c r="E348" s="599"/>
      <c r="F348" s="893">
        <f t="shared" si="35"/>
        <v>0</v>
      </c>
    </row>
    <row r="349" spans="1:6" s="13" customFormat="1" hidden="1" x14ac:dyDescent="0.3">
      <c r="A349" s="1673"/>
      <c r="B349" s="306" t="s">
        <v>740</v>
      </c>
      <c r="C349" s="466">
        <f>SUM(C339:C348)</f>
        <v>0</v>
      </c>
      <c r="D349" s="466">
        <f>SUM(D339:D348)</f>
        <v>0</v>
      </c>
      <c r="E349" s="466">
        <f>SUM(E339:E348)</f>
        <v>0</v>
      </c>
      <c r="F349" s="893">
        <f t="shared" si="35"/>
        <v>0</v>
      </c>
    </row>
    <row r="350" spans="1:6" s="13" customFormat="1" hidden="1" x14ac:dyDescent="0.3">
      <c r="A350" s="1669" t="s">
        <v>1099</v>
      </c>
      <c r="B350" s="306"/>
      <c r="C350" s="466">
        <f>SUM(D350:E350)</f>
        <v>0</v>
      </c>
      <c r="D350" s="466"/>
      <c r="E350" s="599"/>
      <c r="F350" s="893">
        <f t="shared" si="35"/>
        <v>0</v>
      </c>
    </row>
    <row r="351" spans="1:6" s="13" customFormat="1" hidden="1" x14ac:dyDescent="0.3">
      <c r="A351" s="1667"/>
      <c r="B351" s="306"/>
      <c r="C351" s="466">
        <f t="shared" ref="C351:C359" si="37">SUM(D351:E351)</f>
        <v>0</v>
      </c>
      <c r="D351" s="466"/>
      <c r="E351" s="599"/>
      <c r="F351" s="893">
        <f t="shared" si="35"/>
        <v>0</v>
      </c>
    </row>
    <row r="352" spans="1:6" s="13" customFormat="1" hidden="1" x14ac:dyDescent="0.3">
      <c r="A352" s="1667"/>
      <c r="B352" s="306"/>
      <c r="C352" s="466">
        <f t="shared" si="37"/>
        <v>0</v>
      </c>
      <c r="D352" s="466"/>
      <c r="E352" s="599"/>
      <c r="F352" s="893">
        <f t="shared" si="35"/>
        <v>0</v>
      </c>
    </row>
    <row r="353" spans="1:6" s="13" customFormat="1" hidden="1" x14ac:dyDescent="0.3">
      <c r="A353" s="1667"/>
      <c r="B353" s="306"/>
      <c r="C353" s="466">
        <f t="shared" si="37"/>
        <v>0</v>
      </c>
      <c r="D353" s="466"/>
      <c r="E353" s="599"/>
      <c r="F353" s="893">
        <f t="shared" si="35"/>
        <v>0</v>
      </c>
    </row>
    <row r="354" spans="1:6" s="13" customFormat="1" hidden="1" x14ac:dyDescent="0.3">
      <c r="A354" s="1667"/>
      <c r="B354" s="306"/>
      <c r="C354" s="466">
        <f t="shared" si="37"/>
        <v>0</v>
      </c>
      <c r="D354" s="466"/>
      <c r="E354" s="599"/>
      <c r="F354" s="893">
        <f t="shared" si="35"/>
        <v>0</v>
      </c>
    </row>
    <row r="355" spans="1:6" s="13" customFormat="1" hidden="1" x14ac:dyDescent="0.3">
      <c r="A355" s="1667"/>
      <c r="B355" s="306"/>
      <c r="C355" s="466">
        <f t="shared" si="37"/>
        <v>0</v>
      </c>
      <c r="D355" s="466"/>
      <c r="E355" s="599"/>
      <c r="F355" s="893">
        <f t="shared" si="35"/>
        <v>0</v>
      </c>
    </row>
    <row r="356" spans="1:6" s="13" customFormat="1" hidden="1" x14ac:dyDescent="0.3">
      <c r="A356" s="1667"/>
      <c r="B356" s="306"/>
      <c r="C356" s="466">
        <f t="shared" si="37"/>
        <v>0</v>
      </c>
      <c r="D356" s="466"/>
      <c r="E356" s="599"/>
      <c r="F356" s="893">
        <f t="shared" si="35"/>
        <v>0</v>
      </c>
    </row>
    <row r="357" spans="1:6" s="13" customFormat="1" hidden="1" x14ac:dyDescent="0.3">
      <c r="A357" s="1667"/>
      <c r="B357" s="306"/>
      <c r="C357" s="466">
        <f t="shared" si="37"/>
        <v>0</v>
      </c>
      <c r="D357" s="466"/>
      <c r="E357" s="599"/>
      <c r="F357" s="893">
        <f t="shared" si="35"/>
        <v>0</v>
      </c>
    </row>
    <row r="358" spans="1:6" s="13" customFormat="1" hidden="1" x14ac:dyDescent="0.3">
      <c r="A358" s="1667"/>
      <c r="B358" s="306"/>
      <c r="C358" s="466">
        <f t="shared" si="37"/>
        <v>0</v>
      </c>
      <c r="D358" s="466"/>
      <c r="E358" s="599"/>
      <c r="F358" s="893">
        <f t="shared" si="35"/>
        <v>0</v>
      </c>
    </row>
    <row r="359" spans="1:6" s="13" customFormat="1" hidden="1" x14ac:dyDescent="0.3">
      <c r="A359" s="1667"/>
      <c r="B359" s="306"/>
      <c r="C359" s="466">
        <f t="shared" si="37"/>
        <v>0</v>
      </c>
      <c r="D359" s="466"/>
      <c r="E359" s="599"/>
      <c r="F359" s="893">
        <f t="shared" si="35"/>
        <v>0</v>
      </c>
    </row>
    <row r="360" spans="1:6" s="13" customFormat="1" hidden="1" x14ac:dyDescent="0.3">
      <c r="A360" s="1673"/>
      <c r="B360" s="306" t="s">
        <v>740</v>
      </c>
      <c r="C360" s="466">
        <f>SUM(C350:C359)</f>
        <v>0</v>
      </c>
      <c r="D360" s="466">
        <f>SUM(D350:D359)</f>
        <v>0</v>
      </c>
      <c r="E360" s="466">
        <f>SUM(E350:E359)</f>
        <v>0</v>
      </c>
      <c r="F360" s="893">
        <f t="shared" si="35"/>
        <v>0</v>
      </c>
    </row>
    <row r="361" spans="1:6" ht="112.5" x14ac:dyDescent="0.3">
      <c r="A361" s="1674" t="s">
        <v>1100</v>
      </c>
      <c r="B361" s="1600" t="s">
        <v>1802</v>
      </c>
      <c r="C361" s="565">
        <f>D361+E361</f>
        <v>406720</v>
      </c>
      <c r="D361" s="565"/>
      <c r="E361" s="565">
        <v>406720</v>
      </c>
      <c r="F361" s="893">
        <f t="shared" si="35"/>
        <v>813440</v>
      </c>
    </row>
    <row r="362" spans="1:6" s="13" customFormat="1" hidden="1" x14ac:dyDescent="0.3">
      <c r="A362" s="1667"/>
      <c r="B362" s="306"/>
      <c r="C362" s="466">
        <f t="shared" ref="C362:C369" si="38">SUM(D362:E362)</f>
        <v>0</v>
      </c>
      <c r="D362" s="466"/>
      <c r="E362" s="599"/>
      <c r="F362" s="893">
        <f t="shared" si="35"/>
        <v>0</v>
      </c>
    </row>
    <row r="363" spans="1:6" s="13" customFormat="1" hidden="1" x14ac:dyDescent="0.3">
      <c r="A363" s="1667"/>
      <c r="B363" s="306"/>
      <c r="C363" s="466">
        <f t="shared" si="38"/>
        <v>0</v>
      </c>
      <c r="D363" s="466"/>
      <c r="E363" s="599"/>
      <c r="F363" s="893">
        <f t="shared" si="35"/>
        <v>0</v>
      </c>
    </row>
    <row r="364" spans="1:6" s="13" customFormat="1" hidden="1" x14ac:dyDescent="0.3">
      <c r="A364" s="1667"/>
      <c r="B364" s="306"/>
      <c r="C364" s="466">
        <f t="shared" si="38"/>
        <v>0</v>
      </c>
      <c r="D364" s="466"/>
      <c r="E364" s="599"/>
      <c r="F364" s="893">
        <f t="shared" si="35"/>
        <v>0</v>
      </c>
    </row>
    <row r="365" spans="1:6" s="13" customFormat="1" hidden="1" x14ac:dyDescent="0.3">
      <c r="A365" s="1667"/>
      <c r="B365" s="306"/>
      <c r="C365" s="466">
        <f t="shared" si="38"/>
        <v>0</v>
      </c>
      <c r="D365" s="466"/>
      <c r="E365" s="599"/>
      <c r="F365" s="893">
        <f t="shared" si="35"/>
        <v>0</v>
      </c>
    </row>
    <row r="366" spans="1:6" s="13" customFormat="1" hidden="1" x14ac:dyDescent="0.3">
      <c r="A366" s="1667"/>
      <c r="B366" s="306"/>
      <c r="C366" s="466">
        <f t="shared" si="38"/>
        <v>0</v>
      </c>
      <c r="D366" s="466"/>
      <c r="E366" s="599"/>
      <c r="F366" s="893">
        <f t="shared" si="35"/>
        <v>0</v>
      </c>
    </row>
    <row r="367" spans="1:6" s="13" customFormat="1" hidden="1" x14ac:dyDescent="0.3">
      <c r="A367" s="1667"/>
      <c r="B367" s="306"/>
      <c r="C367" s="466">
        <f t="shared" si="38"/>
        <v>0</v>
      </c>
      <c r="D367" s="466"/>
      <c r="E367" s="599"/>
      <c r="F367" s="893">
        <f t="shared" si="35"/>
        <v>0</v>
      </c>
    </row>
    <row r="368" spans="1:6" s="13" customFormat="1" hidden="1" x14ac:dyDescent="0.3">
      <c r="A368" s="1667"/>
      <c r="B368" s="306"/>
      <c r="C368" s="466">
        <f t="shared" si="38"/>
        <v>0</v>
      </c>
      <c r="D368" s="466"/>
      <c r="E368" s="599"/>
      <c r="F368" s="893">
        <f t="shared" si="35"/>
        <v>0</v>
      </c>
    </row>
    <row r="369" spans="1:6" s="13" customFormat="1" hidden="1" x14ac:dyDescent="0.3">
      <c r="A369" s="1667"/>
      <c r="B369" s="306"/>
      <c r="C369" s="466">
        <f t="shared" si="38"/>
        <v>0</v>
      </c>
      <c r="D369" s="466"/>
      <c r="E369" s="599"/>
      <c r="F369" s="893">
        <f t="shared" si="35"/>
        <v>0</v>
      </c>
    </row>
    <row r="370" spans="1:6" x14ac:dyDescent="0.3">
      <c r="A370" s="1675"/>
      <c r="B370" s="862" t="s">
        <v>740</v>
      </c>
      <c r="C370" s="1438">
        <f>SUM(C361:C369)</f>
        <v>406720</v>
      </c>
      <c r="D370" s="1438">
        <f>SUM(D361:D369)</f>
        <v>0</v>
      </c>
      <c r="E370" s="1438">
        <f>SUM(E361:E369)</f>
        <v>406720</v>
      </c>
      <c r="F370" s="893">
        <f t="shared" si="35"/>
        <v>813440</v>
      </c>
    </row>
    <row r="371" spans="1:6" s="13" customFormat="1" hidden="1" x14ac:dyDescent="0.3">
      <c r="A371" s="1669" t="s">
        <v>1101</v>
      </c>
      <c r="B371" s="306"/>
      <c r="C371" s="466">
        <f>SUM(D371:E371)</f>
        <v>0</v>
      </c>
      <c r="D371" s="466"/>
      <c r="E371" s="599"/>
      <c r="F371" s="893">
        <f t="shared" si="35"/>
        <v>0</v>
      </c>
    </row>
    <row r="372" spans="1:6" s="13" customFormat="1" hidden="1" x14ac:dyDescent="0.3">
      <c r="A372" s="1667"/>
      <c r="B372" s="306"/>
      <c r="C372" s="466">
        <f t="shared" ref="C372:C380" si="39">SUM(D372:E372)</f>
        <v>0</v>
      </c>
      <c r="D372" s="466"/>
      <c r="E372" s="599"/>
      <c r="F372" s="893">
        <f t="shared" si="35"/>
        <v>0</v>
      </c>
    </row>
    <row r="373" spans="1:6" s="13" customFormat="1" hidden="1" x14ac:dyDescent="0.3">
      <c r="A373" s="1667"/>
      <c r="B373" s="306"/>
      <c r="C373" s="466">
        <f t="shared" si="39"/>
        <v>0</v>
      </c>
      <c r="D373" s="466"/>
      <c r="E373" s="599"/>
      <c r="F373" s="893">
        <f t="shared" si="35"/>
        <v>0</v>
      </c>
    </row>
    <row r="374" spans="1:6" s="13" customFormat="1" hidden="1" x14ac:dyDescent="0.3">
      <c r="A374" s="1667"/>
      <c r="B374" s="306"/>
      <c r="C374" s="466">
        <f t="shared" si="39"/>
        <v>0</v>
      </c>
      <c r="D374" s="466"/>
      <c r="E374" s="599"/>
      <c r="F374" s="893">
        <f t="shared" si="35"/>
        <v>0</v>
      </c>
    </row>
    <row r="375" spans="1:6" s="13" customFormat="1" hidden="1" x14ac:dyDescent="0.3">
      <c r="A375" s="1667"/>
      <c r="B375" s="306"/>
      <c r="C375" s="466">
        <f t="shared" si="39"/>
        <v>0</v>
      </c>
      <c r="D375" s="466"/>
      <c r="E375" s="599"/>
      <c r="F375" s="893">
        <f t="shared" si="35"/>
        <v>0</v>
      </c>
    </row>
    <row r="376" spans="1:6" s="13" customFormat="1" hidden="1" x14ac:dyDescent="0.3">
      <c r="A376" s="1667"/>
      <c r="B376" s="306"/>
      <c r="C376" s="466">
        <f t="shared" si="39"/>
        <v>0</v>
      </c>
      <c r="D376" s="466"/>
      <c r="E376" s="599"/>
      <c r="F376" s="893">
        <f t="shared" si="35"/>
        <v>0</v>
      </c>
    </row>
    <row r="377" spans="1:6" s="13" customFormat="1" hidden="1" x14ac:dyDescent="0.3">
      <c r="A377" s="1667"/>
      <c r="B377" s="306"/>
      <c r="C377" s="466">
        <f t="shared" si="39"/>
        <v>0</v>
      </c>
      <c r="D377" s="466"/>
      <c r="E377" s="599"/>
      <c r="F377" s="893">
        <f t="shared" si="35"/>
        <v>0</v>
      </c>
    </row>
    <row r="378" spans="1:6" s="13" customFormat="1" hidden="1" x14ac:dyDescent="0.3">
      <c r="A378" s="1667"/>
      <c r="B378" s="306"/>
      <c r="C378" s="466">
        <f t="shared" si="39"/>
        <v>0</v>
      </c>
      <c r="D378" s="466"/>
      <c r="E378" s="599"/>
      <c r="F378" s="893">
        <f t="shared" si="35"/>
        <v>0</v>
      </c>
    </row>
    <row r="379" spans="1:6" s="13" customFormat="1" hidden="1" x14ac:dyDescent="0.3">
      <c r="A379" s="1667"/>
      <c r="B379" s="306"/>
      <c r="C379" s="466">
        <f t="shared" si="39"/>
        <v>0</v>
      </c>
      <c r="D379" s="466"/>
      <c r="E379" s="599"/>
      <c r="F379" s="893">
        <f t="shared" si="35"/>
        <v>0</v>
      </c>
    </row>
    <row r="380" spans="1:6" s="13" customFormat="1" hidden="1" x14ac:dyDescent="0.3">
      <c r="A380" s="1667"/>
      <c r="B380" s="306"/>
      <c r="C380" s="466">
        <f t="shared" si="39"/>
        <v>0</v>
      </c>
      <c r="D380" s="466"/>
      <c r="E380" s="599"/>
      <c r="F380" s="893">
        <f t="shared" si="35"/>
        <v>0</v>
      </c>
    </row>
    <row r="381" spans="1:6" s="13" customFormat="1" hidden="1" x14ac:dyDescent="0.3">
      <c r="A381" s="1673"/>
      <c r="B381" s="306" t="s">
        <v>740</v>
      </c>
      <c r="C381" s="466">
        <f>SUM(C371:C380)</f>
        <v>0</v>
      </c>
      <c r="D381" s="466">
        <f>SUM(D371:D380)</f>
        <v>0</v>
      </c>
      <c r="E381" s="466">
        <f>SUM(E371:E380)</f>
        <v>0</v>
      </c>
      <c r="F381" s="893">
        <f t="shared" si="35"/>
        <v>0</v>
      </c>
    </row>
    <row r="382" spans="1:6" s="13" customFormat="1" hidden="1" x14ac:dyDescent="0.3">
      <c r="A382" s="1669" t="s">
        <v>1102</v>
      </c>
      <c r="B382" s="306"/>
      <c r="C382" s="466">
        <f>SUM(D382:E382)</f>
        <v>0</v>
      </c>
      <c r="D382" s="466"/>
      <c r="E382" s="599"/>
      <c r="F382" s="893">
        <f t="shared" si="35"/>
        <v>0</v>
      </c>
    </row>
    <row r="383" spans="1:6" s="13" customFormat="1" hidden="1" x14ac:dyDescent="0.3">
      <c r="A383" s="1667"/>
      <c r="B383" s="306"/>
      <c r="C383" s="466">
        <f t="shared" ref="C383:C391" si="40">SUM(D383:E383)</f>
        <v>0</v>
      </c>
      <c r="D383" s="466"/>
      <c r="E383" s="599"/>
      <c r="F383" s="893">
        <f t="shared" si="35"/>
        <v>0</v>
      </c>
    </row>
    <row r="384" spans="1:6" s="13" customFormat="1" hidden="1" x14ac:dyDescent="0.3">
      <c r="A384" s="1667"/>
      <c r="B384" s="306"/>
      <c r="C384" s="466">
        <f t="shared" si="40"/>
        <v>0</v>
      </c>
      <c r="D384" s="466"/>
      <c r="E384" s="599"/>
      <c r="F384" s="893">
        <f t="shared" si="35"/>
        <v>0</v>
      </c>
    </row>
    <row r="385" spans="1:6" s="13" customFormat="1" hidden="1" x14ac:dyDescent="0.3">
      <c r="A385" s="1667"/>
      <c r="B385" s="306"/>
      <c r="C385" s="466">
        <f t="shared" si="40"/>
        <v>0</v>
      </c>
      <c r="D385" s="466"/>
      <c r="E385" s="599"/>
      <c r="F385" s="893">
        <f t="shared" si="35"/>
        <v>0</v>
      </c>
    </row>
    <row r="386" spans="1:6" s="13" customFormat="1" hidden="1" x14ac:dyDescent="0.3">
      <c r="A386" s="1667"/>
      <c r="B386" s="306"/>
      <c r="C386" s="466">
        <f t="shared" si="40"/>
        <v>0</v>
      </c>
      <c r="D386" s="466"/>
      <c r="E386" s="599"/>
      <c r="F386" s="893">
        <f t="shared" si="35"/>
        <v>0</v>
      </c>
    </row>
    <row r="387" spans="1:6" s="13" customFormat="1" hidden="1" x14ac:dyDescent="0.3">
      <c r="A387" s="1667"/>
      <c r="B387" s="306"/>
      <c r="C387" s="466">
        <f t="shared" si="40"/>
        <v>0</v>
      </c>
      <c r="D387" s="466"/>
      <c r="E387" s="599"/>
      <c r="F387" s="893">
        <f t="shared" si="35"/>
        <v>0</v>
      </c>
    </row>
    <row r="388" spans="1:6" s="13" customFormat="1" hidden="1" x14ac:dyDescent="0.3">
      <c r="A388" s="1667"/>
      <c r="B388" s="306"/>
      <c r="C388" s="466">
        <f t="shared" si="40"/>
        <v>0</v>
      </c>
      <c r="D388" s="466"/>
      <c r="E388" s="599"/>
      <c r="F388" s="893">
        <f t="shared" si="35"/>
        <v>0</v>
      </c>
    </row>
    <row r="389" spans="1:6" s="13" customFormat="1" hidden="1" x14ac:dyDescent="0.3">
      <c r="A389" s="1667"/>
      <c r="B389" s="306"/>
      <c r="C389" s="466">
        <f t="shared" si="40"/>
        <v>0</v>
      </c>
      <c r="D389" s="466"/>
      <c r="E389" s="599"/>
      <c r="F389" s="893">
        <f t="shared" si="35"/>
        <v>0</v>
      </c>
    </row>
    <row r="390" spans="1:6" s="13" customFormat="1" hidden="1" x14ac:dyDescent="0.3">
      <c r="A390" s="1667"/>
      <c r="B390" s="306"/>
      <c r="C390" s="466">
        <f t="shared" si="40"/>
        <v>0</v>
      </c>
      <c r="D390" s="466"/>
      <c r="E390" s="599"/>
      <c r="F390" s="893">
        <f t="shared" si="35"/>
        <v>0</v>
      </c>
    </row>
    <row r="391" spans="1:6" s="13" customFormat="1" hidden="1" x14ac:dyDescent="0.3">
      <c r="A391" s="1667"/>
      <c r="B391" s="306"/>
      <c r="C391" s="466">
        <f t="shared" si="40"/>
        <v>0</v>
      </c>
      <c r="D391" s="466"/>
      <c r="E391" s="599"/>
      <c r="F391" s="893">
        <f t="shared" si="35"/>
        <v>0</v>
      </c>
    </row>
    <row r="392" spans="1:6" s="13" customFormat="1" hidden="1" x14ac:dyDescent="0.3">
      <c r="A392" s="1673"/>
      <c r="B392" s="306" t="s">
        <v>740</v>
      </c>
      <c r="C392" s="466">
        <f>SUM(C382:C391)</f>
        <v>0</v>
      </c>
      <c r="D392" s="466">
        <f>SUM(D382:D391)</f>
        <v>0</v>
      </c>
      <c r="E392" s="466">
        <f>SUM(E382:E391)</f>
        <v>0</v>
      </c>
      <c r="F392" s="893">
        <f t="shared" si="35"/>
        <v>0</v>
      </c>
    </row>
    <row r="393" spans="1:6" s="13" customFormat="1" hidden="1" x14ac:dyDescent="0.3">
      <c r="A393" s="1669" t="s">
        <v>1103</v>
      </c>
      <c r="B393" s="306"/>
      <c r="C393" s="466">
        <f>SUM(D393:E393)</f>
        <v>0</v>
      </c>
      <c r="D393" s="466"/>
      <c r="E393" s="599"/>
      <c r="F393" s="893">
        <f t="shared" si="35"/>
        <v>0</v>
      </c>
    </row>
    <row r="394" spans="1:6" s="13" customFormat="1" hidden="1" x14ac:dyDescent="0.3">
      <c r="A394" s="1667"/>
      <c r="B394" s="306"/>
      <c r="C394" s="466">
        <f t="shared" ref="C394:C402" si="41">SUM(D394:E394)</f>
        <v>0</v>
      </c>
      <c r="D394" s="466"/>
      <c r="E394" s="599"/>
      <c r="F394" s="893">
        <f t="shared" si="35"/>
        <v>0</v>
      </c>
    </row>
    <row r="395" spans="1:6" s="13" customFormat="1" hidden="1" x14ac:dyDescent="0.3">
      <c r="A395" s="1667"/>
      <c r="B395" s="306"/>
      <c r="C395" s="466">
        <f t="shared" si="41"/>
        <v>0</v>
      </c>
      <c r="D395" s="466"/>
      <c r="E395" s="599"/>
      <c r="F395" s="893">
        <f t="shared" ref="F395:F458" si="42">SUM(C395:E395)</f>
        <v>0</v>
      </c>
    </row>
    <row r="396" spans="1:6" s="13" customFormat="1" hidden="1" x14ac:dyDescent="0.3">
      <c r="A396" s="1667"/>
      <c r="B396" s="306"/>
      <c r="C396" s="466">
        <f t="shared" si="41"/>
        <v>0</v>
      </c>
      <c r="D396" s="466"/>
      <c r="E396" s="599"/>
      <c r="F396" s="893">
        <f t="shared" si="42"/>
        <v>0</v>
      </c>
    </row>
    <row r="397" spans="1:6" s="13" customFormat="1" hidden="1" x14ac:dyDescent="0.3">
      <c r="A397" s="1667"/>
      <c r="B397" s="306"/>
      <c r="C397" s="466">
        <f t="shared" si="41"/>
        <v>0</v>
      </c>
      <c r="D397" s="466"/>
      <c r="E397" s="599"/>
      <c r="F397" s="893">
        <f t="shared" si="42"/>
        <v>0</v>
      </c>
    </row>
    <row r="398" spans="1:6" s="13" customFormat="1" hidden="1" x14ac:dyDescent="0.3">
      <c r="A398" s="1667"/>
      <c r="B398" s="306"/>
      <c r="C398" s="466">
        <f t="shared" si="41"/>
        <v>0</v>
      </c>
      <c r="D398" s="466"/>
      <c r="E398" s="599"/>
      <c r="F398" s="893">
        <f t="shared" si="42"/>
        <v>0</v>
      </c>
    </row>
    <row r="399" spans="1:6" s="13" customFormat="1" hidden="1" x14ac:dyDescent="0.3">
      <c r="A399" s="1667"/>
      <c r="B399" s="306"/>
      <c r="C399" s="466">
        <f t="shared" si="41"/>
        <v>0</v>
      </c>
      <c r="D399" s="466"/>
      <c r="E399" s="599"/>
      <c r="F399" s="893">
        <f t="shared" si="42"/>
        <v>0</v>
      </c>
    </row>
    <row r="400" spans="1:6" s="13" customFormat="1" hidden="1" x14ac:dyDescent="0.3">
      <c r="A400" s="1667"/>
      <c r="B400" s="306"/>
      <c r="C400" s="466">
        <f t="shared" si="41"/>
        <v>0</v>
      </c>
      <c r="D400" s="466"/>
      <c r="E400" s="599"/>
      <c r="F400" s="893">
        <f t="shared" si="42"/>
        <v>0</v>
      </c>
    </row>
    <row r="401" spans="1:6" s="13" customFormat="1" hidden="1" x14ac:dyDescent="0.3">
      <c r="A401" s="1667"/>
      <c r="B401" s="306"/>
      <c r="C401" s="466">
        <f t="shared" si="41"/>
        <v>0</v>
      </c>
      <c r="D401" s="466"/>
      <c r="E401" s="599"/>
      <c r="F401" s="893">
        <f t="shared" si="42"/>
        <v>0</v>
      </c>
    </row>
    <row r="402" spans="1:6" s="13" customFormat="1" hidden="1" x14ac:dyDescent="0.3">
      <c r="A402" s="1667"/>
      <c r="B402" s="306"/>
      <c r="C402" s="466">
        <f t="shared" si="41"/>
        <v>0</v>
      </c>
      <c r="D402" s="466"/>
      <c r="E402" s="599"/>
      <c r="F402" s="893">
        <f t="shared" si="42"/>
        <v>0</v>
      </c>
    </row>
    <row r="403" spans="1:6" s="13" customFormat="1" hidden="1" x14ac:dyDescent="0.3">
      <c r="A403" s="1673"/>
      <c r="B403" s="306" t="s">
        <v>740</v>
      </c>
      <c r="C403" s="466">
        <f>SUM(C393:C402)</f>
        <v>0</v>
      </c>
      <c r="D403" s="466">
        <f>SUM(D393:D402)</f>
        <v>0</v>
      </c>
      <c r="E403" s="466">
        <f>SUM(E393:E402)</f>
        <v>0</v>
      </c>
      <c r="F403" s="893">
        <f t="shared" si="42"/>
        <v>0</v>
      </c>
    </row>
    <row r="404" spans="1:6" ht="168.75" x14ac:dyDescent="0.3">
      <c r="A404" s="1674" t="s">
        <v>1104</v>
      </c>
      <c r="B404" s="1067" t="s">
        <v>1803</v>
      </c>
      <c r="C404" s="565">
        <f>D404+E404</f>
        <v>2061038</v>
      </c>
      <c r="D404" s="565"/>
      <c r="E404" s="586">
        <f>2489203-428165</f>
        <v>2061038</v>
      </c>
      <c r="F404" s="893">
        <f t="shared" si="42"/>
        <v>4122076</v>
      </c>
    </row>
    <row r="405" spans="1:6" ht="56.25" x14ac:dyDescent="0.3">
      <c r="A405" s="1676"/>
      <c r="B405" s="506" t="s">
        <v>1424</v>
      </c>
      <c r="C405" s="565">
        <f>D405+E405</f>
        <v>3968924</v>
      </c>
      <c r="D405" s="565"/>
      <c r="E405" s="586">
        <f>1867364+2101560</f>
        <v>3968924</v>
      </c>
      <c r="F405" s="893">
        <f t="shared" si="42"/>
        <v>7937848</v>
      </c>
    </row>
    <row r="406" spans="1:6" s="13" customFormat="1" hidden="1" x14ac:dyDescent="0.3">
      <c r="A406" s="1667"/>
      <c r="B406" s="306"/>
      <c r="C406" s="466">
        <f t="shared" ref="C406:C413" si="43">SUM(D406:E406)</f>
        <v>0</v>
      </c>
      <c r="D406" s="466"/>
      <c r="E406" s="599"/>
      <c r="F406" s="893">
        <f t="shared" si="42"/>
        <v>0</v>
      </c>
    </row>
    <row r="407" spans="1:6" s="13" customFormat="1" hidden="1" x14ac:dyDescent="0.3">
      <c r="A407" s="1667"/>
      <c r="B407" s="306"/>
      <c r="C407" s="466">
        <f t="shared" si="43"/>
        <v>0</v>
      </c>
      <c r="D407" s="466"/>
      <c r="E407" s="599"/>
      <c r="F407" s="893">
        <f t="shared" si="42"/>
        <v>0</v>
      </c>
    </row>
    <row r="408" spans="1:6" s="13" customFormat="1" hidden="1" x14ac:dyDescent="0.3">
      <c r="A408" s="1667"/>
      <c r="B408" s="306"/>
      <c r="C408" s="466">
        <f t="shared" si="43"/>
        <v>0</v>
      </c>
      <c r="D408" s="466"/>
      <c r="E408" s="599"/>
      <c r="F408" s="893">
        <f t="shared" si="42"/>
        <v>0</v>
      </c>
    </row>
    <row r="409" spans="1:6" s="13" customFormat="1" hidden="1" x14ac:dyDescent="0.3">
      <c r="A409" s="1667"/>
      <c r="B409" s="306"/>
      <c r="C409" s="466">
        <f t="shared" si="43"/>
        <v>0</v>
      </c>
      <c r="D409" s="466"/>
      <c r="E409" s="599"/>
      <c r="F409" s="893">
        <f t="shared" si="42"/>
        <v>0</v>
      </c>
    </row>
    <row r="410" spans="1:6" s="13" customFormat="1" hidden="1" x14ac:dyDescent="0.3">
      <c r="A410" s="1667"/>
      <c r="B410" s="306"/>
      <c r="C410" s="466">
        <f t="shared" si="43"/>
        <v>0</v>
      </c>
      <c r="D410" s="466"/>
      <c r="E410" s="599"/>
      <c r="F410" s="893">
        <f t="shared" si="42"/>
        <v>0</v>
      </c>
    </row>
    <row r="411" spans="1:6" s="13" customFormat="1" hidden="1" x14ac:dyDescent="0.3">
      <c r="A411" s="1667"/>
      <c r="B411" s="306"/>
      <c r="C411" s="466">
        <f t="shared" si="43"/>
        <v>0</v>
      </c>
      <c r="D411" s="466"/>
      <c r="E411" s="599"/>
      <c r="F411" s="893">
        <f t="shared" si="42"/>
        <v>0</v>
      </c>
    </row>
    <row r="412" spans="1:6" s="13" customFormat="1" hidden="1" x14ac:dyDescent="0.3">
      <c r="A412" s="1667"/>
      <c r="B412" s="306"/>
      <c r="C412" s="466">
        <f t="shared" si="43"/>
        <v>0</v>
      </c>
      <c r="D412" s="466"/>
      <c r="E412" s="599"/>
      <c r="F412" s="893">
        <f t="shared" si="42"/>
        <v>0</v>
      </c>
    </row>
    <row r="413" spans="1:6" s="13" customFormat="1" hidden="1" x14ac:dyDescent="0.3">
      <c r="A413" s="1667"/>
      <c r="B413" s="306"/>
      <c r="C413" s="466">
        <f t="shared" si="43"/>
        <v>0</v>
      </c>
      <c r="D413" s="466"/>
      <c r="E413" s="599"/>
      <c r="F413" s="893">
        <f t="shared" si="42"/>
        <v>0</v>
      </c>
    </row>
    <row r="414" spans="1:6" x14ac:dyDescent="0.3">
      <c r="A414" s="1675"/>
      <c r="B414" s="862" t="s">
        <v>740</v>
      </c>
      <c r="C414" s="1438">
        <f>SUM(C404:C413)</f>
        <v>6029962</v>
      </c>
      <c r="D414" s="1438">
        <f>SUM(D404:D413)</f>
        <v>0</v>
      </c>
      <c r="E414" s="1438">
        <f>SUM(E404:E413)</f>
        <v>6029962</v>
      </c>
      <c r="F414" s="893">
        <f t="shared" si="42"/>
        <v>12059924</v>
      </c>
    </row>
    <row r="415" spans="1:6" ht="93.75" x14ac:dyDescent="0.3">
      <c r="A415" s="1674" t="s">
        <v>1105</v>
      </c>
      <c r="B415" s="1601" t="s">
        <v>1804</v>
      </c>
      <c r="C415" s="565">
        <f>D415+E415</f>
        <v>40000</v>
      </c>
      <c r="D415" s="565"/>
      <c r="E415" s="565">
        <v>40000</v>
      </c>
      <c r="F415" s="893">
        <f t="shared" si="42"/>
        <v>80000</v>
      </c>
    </row>
    <row r="416" spans="1:6" s="13" customFormat="1" hidden="1" x14ac:dyDescent="0.3">
      <c r="A416" s="1667"/>
      <c r="B416" s="306"/>
      <c r="C416" s="466">
        <f t="shared" ref="C416:C424" si="44">SUM(D416:E416)</f>
        <v>0</v>
      </c>
      <c r="D416" s="466"/>
      <c r="E416" s="599"/>
      <c r="F416" s="893">
        <f t="shared" si="42"/>
        <v>0</v>
      </c>
    </row>
    <row r="417" spans="1:6" s="13" customFormat="1" hidden="1" x14ac:dyDescent="0.3">
      <c r="A417" s="1667"/>
      <c r="B417" s="306"/>
      <c r="C417" s="466">
        <f t="shared" si="44"/>
        <v>0</v>
      </c>
      <c r="D417" s="466"/>
      <c r="E417" s="599"/>
      <c r="F417" s="893">
        <f t="shared" si="42"/>
        <v>0</v>
      </c>
    </row>
    <row r="418" spans="1:6" s="13" customFormat="1" hidden="1" x14ac:dyDescent="0.3">
      <c r="A418" s="1667"/>
      <c r="B418" s="306"/>
      <c r="C418" s="466">
        <f t="shared" si="44"/>
        <v>0</v>
      </c>
      <c r="D418" s="466"/>
      <c r="E418" s="599"/>
      <c r="F418" s="893">
        <f t="shared" si="42"/>
        <v>0</v>
      </c>
    </row>
    <row r="419" spans="1:6" s="13" customFormat="1" hidden="1" x14ac:dyDescent="0.3">
      <c r="A419" s="1667"/>
      <c r="B419" s="306"/>
      <c r="C419" s="466">
        <f t="shared" si="44"/>
        <v>0</v>
      </c>
      <c r="D419" s="466"/>
      <c r="E419" s="599"/>
      <c r="F419" s="893">
        <f t="shared" si="42"/>
        <v>0</v>
      </c>
    </row>
    <row r="420" spans="1:6" s="13" customFormat="1" hidden="1" x14ac:dyDescent="0.3">
      <c r="A420" s="1667"/>
      <c r="B420" s="306"/>
      <c r="C420" s="466">
        <f t="shared" si="44"/>
        <v>0</v>
      </c>
      <c r="D420" s="466"/>
      <c r="E420" s="599"/>
      <c r="F420" s="893">
        <f t="shared" si="42"/>
        <v>0</v>
      </c>
    </row>
    <row r="421" spans="1:6" s="13" customFormat="1" hidden="1" x14ac:dyDescent="0.3">
      <c r="A421" s="1667"/>
      <c r="B421" s="306"/>
      <c r="C421" s="466">
        <f t="shared" si="44"/>
        <v>0</v>
      </c>
      <c r="D421" s="466"/>
      <c r="E421" s="599"/>
      <c r="F421" s="893">
        <f t="shared" si="42"/>
        <v>0</v>
      </c>
    </row>
    <row r="422" spans="1:6" s="13" customFormat="1" hidden="1" x14ac:dyDescent="0.3">
      <c r="A422" s="1667"/>
      <c r="B422" s="306"/>
      <c r="C422" s="466">
        <f t="shared" si="44"/>
        <v>0</v>
      </c>
      <c r="D422" s="466"/>
      <c r="E422" s="599"/>
      <c r="F422" s="893">
        <f t="shared" si="42"/>
        <v>0</v>
      </c>
    </row>
    <row r="423" spans="1:6" s="13" customFormat="1" hidden="1" x14ac:dyDescent="0.3">
      <c r="A423" s="1667"/>
      <c r="B423" s="306"/>
      <c r="C423" s="466">
        <f t="shared" si="44"/>
        <v>0</v>
      </c>
      <c r="D423" s="466"/>
      <c r="E423" s="599"/>
      <c r="F423" s="893">
        <f t="shared" si="42"/>
        <v>0</v>
      </c>
    </row>
    <row r="424" spans="1:6" s="13" customFormat="1" hidden="1" x14ac:dyDescent="0.3">
      <c r="A424" s="1667"/>
      <c r="B424" s="306"/>
      <c r="C424" s="466">
        <f t="shared" si="44"/>
        <v>0</v>
      </c>
      <c r="D424" s="466"/>
      <c r="E424" s="599"/>
      <c r="F424" s="893">
        <f t="shared" si="42"/>
        <v>0</v>
      </c>
    </row>
    <row r="425" spans="1:6" x14ac:dyDescent="0.3">
      <c r="A425" s="1675"/>
      <c r="B425" s="862" t="s">
        <v>740</v>
      </c>
      <c r="C425" s="1438">
        <f>SUM(C415:C424)</f>
        <v>40000</v>
      </c>
      <c r="D425" s="1438">
        <f>SUM(D415:D424)</f>
        <v>0</v>
      </c>
      <c r="E425" s="1438">
        <f>SUM(E415:E424)</f>
        <v>40000</v>
      </c>
      <c r="F425" s="893">
        <f t="shared" si="42"/>
        <v>80000</v>
      </c>
    </row>
    <row r="426" spans="1:6" s="13" customFormat="1" hidden="1" x14ac:dyDescent="0.3">
      <c r="A426" s="1669" t="s">
        <v>1106</v>
      </c>
      <c r="B426" s="306"/>
      <c r="C426" s="466">
        <f>SUM(D426:E426)</f>
        <v>0</v>
      </c>
      <c r="D426" s="466"/>
      <c r="E426" s="599"/>
      <c r="F426" s="893">
        <f t="shared" si="42"/>
        <v>0</v>
      </c>
    </row>
    <row r="427" spans="1:6" s="13" customFormat="1" hidden="1" x14ac:dyDescent="0.3">
      <c r="A427" s="1667"/>
      <c r="B427" s="306"/>
      <c r="C427" s="466">
        <f t="shared" ref="C427:C435" si="45">SUM(D427:E427)</f>
        <v>0</v>
      </c>
      <c r="D427" s="466"/>
      <c r="E427" s="599"/>
      <c r="F427" s="893">
        <f t="shared" si="42"/>
        <v>0</v>
      </c>
    </row>
    <row r="428" spans="1:6" s="13" customFormat="1" hidden="1" x14ac:dyDescent="0.3">
      <c r="A428" s="1667"/>
      <c r="B428" s="306"/>
      <c r="C428" s="466">
        <f t="shared" si="45"/>
        <v>0</v>
      </c>
      <c r="D428" s="466"/>
      <c r="E428" s="599"/>
      <c r="F428" s="893">
        <f t="shared" si="42"/>
        <v>0</v>
      </c>
    </row>
    <row r="429" spans="1:6" s="13" customFormat="1" hidden="1" x14ac:dyDescent="0.3">
      <c r="A429" s="1667"/>
      <c r="B429" s="306"/>
      <c r="C429" s="466">
        <f t="shared" si="45"/>
        <v>0</v>
      </c>
      <c r="D429" s="466"/>
      <c r="E429" s="599"/>
      <c r="F429" s="893">
        <f t="shared" si="42"/>
        <v>0</v>
      </c>
    </row>
    <row r="430" spans="1:6" s="13" customFormat="1" hidden="1" x14ac:dyDescent="0.3">
      <c r="A430" s="1667"/>
      <c r="B430" s="306"/>
      <c r="C430" s="466">
        <f t="shared" si="45"/>
        <v>0</v>
      </c>
      <c r="D430" s="466"/>
      <c r="E430" s="599"/>
      <c r="F430" s="893">
        <f t="shared" si="42"/>
        <v>0</v>
      </c>
    </row>
    <row r="431" spans="1:6" s="13" customFormat="1" hidden="1" x14ac:dyDescent="0.3">
      <c r="A431" s="1667"/>
      <c r="B431" s="306"/>
      <c r="C431" s="466">
        <f t="shared" si="45"/>
        <v>0</v>
      </c>
      <c r="D431" s="466"/>
      <c r="E431" s="599"/>
      <c r="F431" s="893">
        <f t="shared" si="42"/>
        <v>0</v>
      </c>
    </row>
    <row r="432" spans="1:6" s="13" customFormat="1" hidden="1" x14ac:dyDescent="0.3">
      <c r="A432" s="1667"/>
      <c r="B432" s="306"/>
      <c r="C432" s="466">
        <f t="shared" si="45"/>
        <v>0</v>
      </c>
      <c r="D432" s="466"/>
      <c r="E432" s="599"/>
      <c r="F432" s="893">
        <f t="shared" si="42"/>
        <v>0</v>
      </c>
    </row>
    <row r="433" spans="1:6" s="13" customFormat="1" hidden="1" x14ac:dyDescent="0.3">
      <c r="A433" s="1667"/>
      <c r="B433" s="306"/>
      <c r="C433" s="466">
        <f t="shared" si="45"/>
        <v>0</v>
      </c>
      <c r="D433" s="466"/>
      <c r="E433" s="599"/>
      <c r="F433" s="893">
        <f t="shared" si="42"/>
        <v>0</v>
      </c>
    </row>
    <row r="434" spans="1:6" s="13" customFormat="1" hidden="1" x14ac:dyDescent="0.3">
      <c r="A434" s="1667"/>
      <c r="B434" s="306"/>
      <c r="C434" s="466">
        <f t="shared" si="45"/>
        <v>0</v>
      </c>
      <c r="D434" s="466"/>
      <c r="E434" s="599"/>
      <c r="F434" s="893">
        <f t="shared" si="42"/>
        <v>0</v>
      </c>
    </row>
    <row r="435" spans="1:6" s="13" customFormat="1" hidden="1" x14ac:dyDescent="0.3">
      <c r="A435" s="1667"/>
      <c r="B435" s="306"/>
      <c r="C435" s="466">
        <f t="shared" si="45"/>
        <v>0</v>
      </c>
      <c r="D435" s="466"/>
      <c r="E435" s="599"/>
      <c r="F435" s="893">
        <f t="shared" si="42"/>
        <v>0</v>
      </c>
    </row>
    <row r="436" spans="1:6" s="13" customFormat="1" hidden="1" x14ac:dyDescent="0.3">
      <c r="A436" s="1673"/>
      <c r="B436" s="306" t="s">
        <v>740</v>
      </c>
      <c r="C436" s="466">
        <f>SUM(C426:C435)</f>
        <v>0</v>
      </c>
      <c r="D436" s="466">
        <f>SUM(D426:D435)</f>
        <v>0</v>
      </c>
      <c r="E436" s="466">
        <f>SUM(E426:E435)</f>
        <v>0</v>
      </c>
      <c r="F436" s="893">
        <f t="shared" si="42"/>
        <v>0</v>
      </c>
    </row>
    <row r="437" spans="1:6" s="13" customFormat="1" hidden="1" x14ac:dyDescent="0.3">
      <c r="A437" s="1669" t="s">
        <v>1107</v>
      </c>
      <c r="B437" s="306"/>
      <c r="C437" s="466">
        <f>SUM(D437:E437)</f>
        <v>0</v>
      </c>
      <c r="D437" s="466"/>
      <c r="E437" s="599"/>
      <c r="F437" s="893">
        <f t="shared" si="42"/>
        <v>0</v>
      </c>
    </row>
    <row r="438" spans="1:6" s="13" customFormat="1" hidden="1" x14ac:dyDescent="0.3">
      <c r="A438" s="1667"/>
      <c r="B438" s="306"/>
      <c r="C438" s="466">
        <f t="shared" ref="C438:C446" si="46">SUM(D438:E438)</f>
        <v>0</v>
      </c>
      <c r="D438" s="466"/>
      <c r="E438" s="599"/>
      <c r="F438" s="893">
        <f t="shared" si="42"/>
        <v>0</v>
      </c>
    </row>
    <row r="439" spans="1:6" s="13" customFormat="1" hidden="1" x14ac:dyDescent="0.3">
      <c r="A439" s="1667"/>
      <c r="B439" s="306"/>
      <c r="C439" s="466">
        <f t="shared" si="46"/>
        <v>0</v>
      </c>
      <c r="D439" s="466"/>
      <c r="E439" s="599"/>
      <c r="F439" s="893">
        <f t="shared" si="42"/>
        <v>0</v>
      </c>
    </row>
    <row r="440" spans="1:6" s="13" customFormat="1" hidden="1" x14ac:dyDescent="0.3">
      <c r="A440" s="1667"/>
      <c r="B440" s="306"/>
      <c r="C440" s="466">
        <f t="shared" si="46"/>
        <v>0</v>
      </c>
      <c r="D440" s="466"/>
      <c r="E440" s="599"/>
      <c r="F440" s="893">
        <f t="shared" si="42"/>
        <v>0</v>
      </c>
    </row>
    <row r="441" spans="1:6" s="13" customFormat="1" hidden="1" x14ac:dyDescent="0.3">
      <c r="A441" s="1667"/>
      <c r="B441" s="306"/>
      <c r="C441" s="466">
        <f t="shared" si="46"/>
        <v>0</v>
      </c>
      <c r="D441" s="466"/>
      <c r="E441" s="599"/>
      <c r="F441" s="893">
        <f t="shared" si="42"/>
        <v>0</v>
      </c>
    </row>
    <row r="442" spans="1:6" s="13" customFormat="1" hidden="1" x14ac:dyDescent="0.3">
      <c r="A442" s="1667"/>
      <c r="B442" s="306"/>
      <c r="C442" s="466">
        <f t="shared" si="46"/>
        <v>0</v>
      </c>
      <c r="D442" s="466"/>
      <c r="E442" s="599"/>
      <c r="F442" s="893">
        <f t="shared" si="42"/>
        <v>0</v>
      </c>
    </row>
    <row r="443" spans="1:6" s="13" customFormat="1" hidden="1" x14ac:dyDescent="0.3">
      <c r="A443" s="1667"/>
      <c r="B443" s="306"/>
      <c r="C443" s="466">
        <f t="shared" si="46"/>
        <v>0</v>
      </c>
      <c r="D443" s="466"/>
      <c r="E443" s="599"/>
      <c r="F443" s="893">
        <f t="shared" si="42"/>
        <v>0</v>
      </c>
    </row>
    <row r="444" spans="1:6" s="13" customFormat="1" hidden="1" x14ac:dyDescent="0.3">
      <c r="A444" s="1667"/>
      <c r="B444" s="306"/>
      <c r="C444" s="466">
        <f t="shared" si="46"/>
        <v>0</v>
      </c>
      <c r="D444" s="466"/>
      <c r="E444" s="599"/>
      <c r="F444" s="893">
        <f t="shared" si="42"/>
        <v>0</v>
      </c>
    </row>
    <row r="445" spans="1:6" s="13" customFormat="1" hidden="1" x14ac:dyDescent="0.3">
      <c r="A445" s="1667"/>
      <c r="B445" s="306"/>
      <c r="C445" s="466">
        <f t="shared" si="46"/>
        <v>0</v>
      </c>
      <c r="D445" s="466"/>
      <c r="E445" s="599"/>
      <c r="F445" s="893">
        <f t="shared" si="42"/>
        <v>0</v>
      </c>
    </row>
    <row r="446" spans="1:6" s="13" customFormat="1" hidden="1" x14ac:dyDescent="0.3">
      <c r="A446" s="1667"/>
      <c r="B446" s="306"/>
      <c r="C446" s="466">
        <f t="shared" si="46"/>
        <v>0</v>
      </c>
      <c r="D446" s="466"/>
      <c r="E446" s="599"/>
      <c r="F446" s="893">
        <f t="shared" si="42"/>
        <v>0</v>
      </c>
    </row>
    <row r="447" spans="1:6" s="13" customFormat="1" hidden="1" x14ac:dyDescent="0.3">
      <c r="A447" s="1673"/>
      <c r="B447" s="306" t="s">
        <v>740</v>
      </c>
      <c r="C447" s="466">
        <f>SUM(C437:C446)</f>
        <v>0</v>
      </c>
      <c r="D447" s="466">
        <f>SUM(D437:D446)</f>
        <v>0</v>
      </c>
      <c r="E447" s="466">
        <f>SUM(E437:E446)</f>
        <v>0</v>
      </c>
      <c r="F447" s="893">
        <f t="shared" si="42"/>
        <v>0</v>
      </c>
    </row>
    <row r="448" spans="1:6" s="13" customFormat="1" hidden="1" x14ac:dyDescent="0.3">
      <c r="A448" s="1669" t="s">
        <v>1108</v>
      </c>
      <c r="B448" s="306"/>
      <c r="C448" s="466">
        <f>SUM(D448:E448)</f>
        <v>0</v>
      </c>
      <c r="D448" s="466"/>
      <c r="E448" s="599"/>
      <c r="F448" s="893">
        <f t="shared" si="42"/>
        <v>0</v>
      </c>
    </row>
    <row r="449" spans="1:6" s="13" customFormat="1" hidden="1" x14ac:dyDescent="0.3">
      <c r="A449" s="1667"/>
      <c r="B449" s="306"/>
      <c r="C449" s="466">
        <f t="shared" ref="C449:C457" si="47">SUM(D449:E449)</f>
        <v>0</v>
      </c>
      <c r="D449" s="466"/>
      <c r="E449" s="599"/>
      <c r="F449" s="893">
        <f t="shared" si="42"/>
        <v>0</v>
      </c>
    </row>
    <row r="450" spans="1:6" s="13" customFormat="1" hidden="1" x14ac:dyDescent="0.3">
      <c r="A450" s="1667"/>
      <c r="B450" s="306"/>
      <c r="C450" s="466">
        <f t="shared" si="47"/>
        <v>0</v>
      </c>
      <c r="D450" s="466"/>
      <c r="E450" s="599"/>
      <c r="F450" s="893">
        <f t="shared" si="42"/>
        <v>0</v>
      </c>
    </row>
    <row r="451" spans="1:6" s="13" customFormat="1" hidden="1" x14ac:dyDescent="0.3">
      <c r="A451" s="1667"/>
      <c r="B451" s="306"/>
      <c r="C451" s="466">
        <f t="shared" si="47"/>
        <v>0</v>
      </c>
      <c r="D451" s="466"/>
      <c r="E451" s="599"/>
      <c r="F451" s="893">
        <f t="shared" si="42"/>
        <v>0</v>
      </c>
    </row>
    <row r="452" spans="1:6" s="13" customFormat="1" hidden="1" x14ac:dyDescent="0.3">
      <c r="A452" s="1667"/>
      <c r="B452" s="306"/>
      <c r="C452" s="466">
        <f t="shared" si="47"/>
        <v>0</v>
      </c>
      <c r="D452" s="466"/>
      <c r="E452" s="599"/>
      <c r="F452" s="893">
        <f t="shared" si="42"/>
        <v>0</v>
      </c>
    </row>
    <row r="453" spans="1:6" s="13" customFormat="1" hidden="1" x14ac:dyDescent="0.3">
      <c r="A453" s="1667"/>
      <c r="B453" s="306"/>
      <c r="C453" s="466">
        <f t="shared" si="47"/>
        <v>0</v>
      </c>
      <c r="D453" s="466"/>
      <c r="E453" s="599"/>
      <c r="F453" s="893">
        <f t="shared" si="42"/>
        <v>0</v>
      </c>
    </row>
    <row r="454" spans="1:6" s="13" customFormat="1" hidden="1" x14ac:dyDescent="0.3">
      <c r="A454" s="1667"/>
      <c r="B454" s="306"/>
      <c r="C454" s="466">
        <f t="shared" si="47"/>
        <v>0</v>
      </c>
      <c r="D454" s="466"/>
      <c r="E454" s="599"/>
      <c r="F454" s="893">
        <f t="shared" si="42"/>
        <v>0</v>
      </c>
    </row>
    <row r="455" spans="1:6" s="13" customFormat="1" hidden="1" x14ac:dyDescent="0.3">
      <c r="A455" s="1667"/>
      <c r="B455" s="306"/>
      <c r="C455" s="466">
        <f t="shared" si="47"/>
        <v>0</v>
      </c>
      <c r="D455" s="466"/>
      <c r="E455" s="599"/>
      <c r="F455" s="893">
        <f t="shared" si="42"/>
        <v>0</v>
      </c>
    </row>
    <row r="456" spans="1:6" s="13" customFormat="1" hidden="1" x14ac:dyDescent="0.3">
      <c r="A456" s="1667"/>
      <c r="B456" s="306"/>
      <c r="C456" s="466">
        <f t="shared" si="47"/>
        <v>0</v>
      </c>
      <c r="D456" s="466"/>
      <c r="E456" s="599"/>
      <c r="F456" s="893">
        <f t="shared" si="42"/>
        <v>0</v>
      </c>
    </row>
    <row r="457" spans="1:6" s="13" customFormat="1" hidden="1" x14ac:dyDescent="0.3">
      <c r="A457" s="1667"/>
      <c r="B457" s="306"/>
      <c r="C457" s="466">
        <f t="shared" si="47"/>
        <v>0</v>
      </c>
      <c r="D457" s="466"/>
      <c r="E457" s="599"/>
      <c r="F457" s="893">
        <f t="shared" si="42"/>
        <v>0</v>
      </c>
    </row>
    <row r="458" spans="1:6" s="13" customFormat="1" hidden="1" x14ac:dyDescent="0.3">
      <c r="A458" s="1673"/>
      <c r="B458" s="306" t="s">
        <v>740</v>
      </c>
      <c r="C458" s="466">
        <f>SUM(C448:C457)</f>
        <v>0</v>
      </c>
      <c r="D458" s="466">
        <f>SUM(D448:D457)</f>
        <v>0</v>
      </c>
      <c r="E458" s="466">
        <f>SUM(E448:E457)</f>
        <v>0</v>
      </c>
      <c r="F458" s="893">
        <f t="shared" si="42"/>
        <v>0</v>
      </c>
    </row>
    <row r="459" spans="1:6" ht="112.5" x14ac:dyDescent="0.3">
      <c r="A459" s="1674" t="s">
        <v>1109</v>
      </c>
      <c r="B459" s="1067" t="s">
        <v>1806</v>
      </c>
      <c r="C459" s="565">
        <f>D459+E459</f>
        <v>900000</v>
      </c>
      <c r="D459" s="565"/>
      <c r="E459" s="586">
        <v>900000</v>
      </c>
      <c r="F459" s="893">
        <f t="shared" ref="F459:F522" si="48">SUM(C459:E459)</f>
        <v>1800000</v>
      </c>
    </row>
    <row r="460" spans="1:6" s="13" customFormat="1" hidden="1" x14ac:dyDescent="0.3">
      <c r="A460" s="1667"/>
      <c r="B460" s="306"/>
      <c r="C460" s="466">
        <f t="shared" ref="C460:C468" si="49">SUM(D460:E460)</f>
        <v>0</v>
      </c>
      <c r="D460" s="466"/>
      <c r="E460" s="599"/>
      <c r="F460" s="893">
        <f t="shared" si="48"/>
        <v>0</v>
      </c>
    </row>
    <row r="461" spans="1:6" s="13" customFormat="1" hidden="1" x14ac:dyDescent="0.3">
      <c r="A461" s="1667"/>
      <c r="B461" s="306"/>
      <c r="C461" s="466">
        <f t="shared" si="49"/>
        <v>0</v>
      </c>
      <c r="D461" s="466"/>
      <c r="E461" s="599"/>
      <c r="F461" s="893">
        <f t="shared" si="48"/>
        <v>0</v>
      </c>
    </row>
    <row r="462" spans="1:6" s="13" customFormat="1" hidden="1" x14ac:dyDescent="0.3">
      <c r="A462" s="1667"/>
      <c r="B462" s="306"/>
      <c r="C462" s="466">
        <f t="shared" si="49"/>
        <v>0</v>
      </c>
      <c r="D462" s="466"/>
      <c r="E462" s="599"/>
      <c r="F462" s="893">
        <f t="shared" si="48"/>
        <v>0</v>
      </c>
    </row>
    <row r="463" spans="1:6" s="13" customFormat="1" hidden="1" x14ac:dyDescent="0.3">
      <c r="A463" s="1667"/>
      <c r="B463" s="306"/>
      <c r="C463" s="466">
        <f t="shared" si="49"/>
        <v>0</v>
      </c>
      <c r="D463" s="466"/>
      <c r="E463" s="599"/>
      <c r="F463" s="893">
        <f t="shared" si="48"/>
        <v>0</v>
      </c>
    </row>
    <row r="464" spans="1:6" s="13" customFormat="1" hidden="1" x14ac:dyDescent="0.3">
      <c r="A464" s="1667"/>
      <c r="B464" s="306"/>
      <c r="C464" s="466">
        <f t="shared" si="49"/>
        <v>0</v>
      </c>
      <c r="D464" s="466"/>
      <c r="E464" s="599"/>
      <c r="F464" s="893">
        <f t="shared" si="48"/>
        <v>0</v>
      </c>
    </row>
    <row r="465" spans="1:6" s="13" customFormat="1" hidden="1" x14ac:dyDescent="0.3">
      <c r="A465" s="1667"/>
      <c r="B465" s="306"/>
      <c r="C465" s="466">
        <f t="shared" si="49"/>
        <v>0</v>
      </c>
      <c r="D465" s="466"/>
      <c r="E465" s="599"/>
      <c r="F465" s="893">
        <f t="shared" si="48"/>
        <v>0</v>
      </c>
    </row>
    <row r="466" spans="1:6" s="13" customFormat="1" hidden="1" x14ac:dyDescent="0.3">
      <c r="A466" s="1667"/>
      <c r="B466" s="306"/>
      <c r="C466" s="466">
        <f t="shared" si="49"/>
        <v>0</v>
      </c>
      <c r="D466" s="466"/>
      <c r="E466" s="599"/>
      <c r="F466" s="893">
        <f t="shared" si="48"/>
        <v>0</v>
      </c>
    </row>
    <row r="467" spans="1:6" s="13" customFormat="1" hidden="1" x14ac:dyDescent="0.3">
      <c r="A467" s="1667"/>
      <c r="B467" s="306"/>
      <c r="C467" s="466">
        <f t="shared" si="49"/>
        <v>0</v>
      </c>
      <c r="D467" s="466"/>
      <c r="E467" s="599"/>
      <c r="F467" s="893">
        <f t="shared" si="48"/>
        <v>0</v>
      </c>
    </row>
    <row r="468" spans="1:6" s="13" customFormat="1" hidden="1" x14ac:dyDescent="0.3">
      <c r="A468" s="1667"/>
      <c r="B468" s="306"/>
      <c r="C468" s="466">
        <f t="shared" si="49"/>
        <v>0</v>
      </c>
      <c r="D468" s="466"/>
      <c r="E468" s="599"/>
      <c r="F468" s="893">
        <f t="shared" si="48"/>
        <v>0</v>
      </c>
    </row>
    <row r="469" spans="1:6" x14ac:dyDescent="0.3">
      <c r="A469" s="1675"/>
      <c r="B469" s="862" t="s">
        <v>740</v>
      </c>
      <c r="C469" s="1438">
        <f>SUM(C459:C468)</f>
        <v>900000</v>
      </c>
      <c r="D469" s="1438">
        <f>SUM(D459:D468)</f>
        <v>0</v>
      </c>
      <c r="E469" s="1438">
        <f>SUM(E459:E468)</f>
        <v>900000</v>
      </c>
      <c r="F469" s="893">
        <f t="shared" si="48"/>
        <v>1800000</v>
      </c>
    </row>
    <row r="470" spans="1:6" s="13" customFormat="1" hidden="1" x14ac:dyDescent="0.3">
      <c r="A470" s="1669" t="s">
        <v>1110</v>
      </c>
      <c r="B470" s="306"/>
      <c r="C470" s="466">
        <f>SUM(D470:E470)</f>
        <v>0</v>
      </c>
      <c r="D470" s="466"/>
      <c r="E470" s="599"/>
      <c r="F470" s="893">
        <f t="shared" si="48"/>
        <v>0</v>
      </c>
    </row>
    <row r="471" spans="1:6" s="13" customFormat="1" hidden="1" x14ac:dyDescent="0.3">
      <c r="A471" s="1667"/>
      <c r="B471" s="306"/>
      <c r="C471" s="466">
        <f t="shared" ref="C471:C479" si="50">SUM(D471:E471)</f>
        <v>0</v>
      </c>
      <c r="D471" s="466"/>
      <c r="E471" s="599"/>
      <c r="F471" s="893">
        <f t="shared" si="48"/>
        <v>0</v>
      </c>
    </row>
    <row r="472" spans="1:6" s="13" customFormat="1" hidden="1" x14ac:dyDescent="0.3">
      <c r="A472" s="1667"/>
      <c r="B472" s="306"/>
      <c r="C472" s="466">
        <f t="shared" si="50"/>
        <v>0</v>
      </c>
      <c r="D472" s="466"/>
      <c r="E472" s="599"/>
      <c r="F472" s="893">
        <f t="shared" si="48"/>
        <v>0</v>
      </c>
    </row>
    <row r="473" spans="1:6" s="13" customFormat="1" hidden="1" x14ac:dyDescent="0.3">
      <c r="A473" s="1667"/>
      <c r="B473" s="306"/>
      <c r="C473" s="466">
        <f t="shared" si="50"/>
        <v>0</v>
      </c>
      <c r="D473" s="466"/>
      <c r="E473" s="599"/>
      <c r="F473" s="893">
        <f t="shared" si="48"/>
        <v>0</v>
      </c>
    </row>
    <row r="474" spans="1:6" s="13" customFormat="1" hidden="1" x14ac:dyDescent="0.3">
      <c r="A474" s="1667"/>
      <c r="B474" s="306"/>
      <c r="C474" s="466">
        <f t="shared" si="50"/>
        <v>0</v>
      </c>
      <c r="D474" s="466"/>
      <c r="E474" s="599"/>
      <c r="F474" s="893">
        <f t="shared" si="48"/>
        <v>0</v>
      </c>
    </row>
    <row r="475" spans="1:6" s="13" customFormat="1" hidden="1" x14ac:dyDescent="0.3">
      <c r="A475" s="1667"/>
      <c r="B475" s="306"/>
      <c r="C475" s="466">
        <f t="shared" si="50"/>
        <v>0</v>
      </c>
      <c r="D475" s="466"/>
      <c r="E475" s="599"/>
      <c r="F475" s="893">
        <f t="shared" si="48"/>
        <v>0</v>
      </c>
    </row>
    <row r="476" spans="1:6" s="13" customFormat="1" hidden="1" x14ac:dyDescent="0.3">
      <c r="A476" s="1667"/>
      <c r="B476" s="306"/>
      <c r="C476" s="466">
        <f t="shared" si="50"/>
        <v>0</v>
      </c>
      <c r="D476" s="466"/>
      <c r="E476" s="599"/>
      <c r="F476" s="893">
        <f t="shared" si="48"/>
        <v>0</v>
      </c>
    </row>
    <row r="477" spans="1:6" s="13" customFormat="1" hidden="1" x14ac:dyDescent="0.3">
      <c r="A477" s="1667"/>
      <c r="B477" s="306"/>
      <c r="C477" s="466">
        <f t="shared" si="50"/>
        <v>0</v>
      </c>
      <c r="D477" s="466"/>
      <c r="E477" s="599"/>
      <c r="F477" s="893">
        <f t="shared" si="48"/>
        <v>0</v>
      </c>
    </row>
    <row r="478" spans="1:6" s="13" customFormat="1" hidden="1" x14ac:dyDescent="0.3">
      <c r="A478" s="1667"/>
      <c r="B478" s="306"/>
      <c r="C478" s="466">
        <f t="shared" si="50"/>
        <v>0</v>
      </c>
      <c r="D478" s="466"/>
      <c r="E478" s="599"/>
      <c r="F478" s="893">
        <f t="shared" si="48"/>
        <v>0</v>
      </c>
    </row>
    <row r="479" spans="1:6" s="13" customFormat="1" hidden="1" x14ac:dyDescent="0.3">
      <c r="A479" s="1667"/>
      <c r="B479" s="306"/>
      <c r="C479" s="466">
        <f t="shared" si="50"/>
        <v>0</v>
      </c>
      <c r="D479" s="466"/>
      <c r="E479" s="599"/>
      <c r="F479" s="893">
        <f t="shared" si="48"/>
        <v>0</v>
      </c>
    </row>
    <row r="480" spans="1:6" s="13" customFormat="1" hidden="1" x14ac:dyDescent="0.3">
      <c r="A480" s="1673"/>
      <c r="B480" s="306" t="s">
        <v>740</v>
      </c>
      <c r="C480" s="466">
        <f>SUM(C470:C479)</f>
        <v>0</v>
      </c>
      <c r="D480" s="466">
        <f>SUM(D470:D479)</f>
        <v>0</v>
      </c>
      <c r="E480" s="466">
        <f>SUM(E470:E479)</f>
        <v>0</v>
      </c>
      <c r="F480" s="893">
        <f t="shared" si="48"/>
        <v>0</v>
      </c>
    </row>
    <row r="481" spans="1:6" s="13" customFormat="1" hidden="1" x14ac:dyDescent="0.3">
      <c r="A481" s="1669" t="s">
        <v>1111</v>
      </c>
      <c r="B481" s="306"/>
      <c r="C481" s="466">
        <f>SUM(D481:E481)</f>
        <v>0</v>
      </c>
      <c r="D481" s="466"/>
      <c r="E481" s="599"/>
      <c r="F481" s="893">
        <f t="shared" si="48"/>
        <v>0</v>
      </c>
    </row>
    <row r="482" spans="1:6" s="13" customFormat="1" hidden="1" x14ac:dyDescent="0.3">
      <c r="A482" s="1667"/>
      <c r="B482" s="306"/>
      <c r="C482" s="466">
        <f t="shared" ref="C482:C490" si="51">SUM(D482:E482)</f>
        <v>0</v>
      </c>
      <c r="D482" s="466"/>
      <c r="E482" s="599"/>
      <c r="F482" s="893">
        <f t="shared" si="48"/>
        <v>0</v>
      </c>
    </row>
    <row r="483" spans="1:6" s="13" customFormat="1" hidden="1" x14ac:dyDescent="0.3">
      <c r="A483" s="1667"/>
      <c r="B483" s="306"/>
      <c r="C483" s="466">
        <f t="shared" si="51"/>
        <v>0</v>
      </c>
      <c r="D483" s="466"/>
      <c r="E483" s="599"/>
      <c r="F483" s="893">
        <f t="shared" si="48"/>
        <v>0</v>
      </c>
    </row>
    <row r="484" spans="1:6" s="13" customFormat="1" hidden="1" x14ac:dyDescent="0.3">
      <c r="A484" s="1667"/>
      <c r="B484" s="306"/>
      <c r="C484" s="466">
        <f t="shared" si="51"/>
        <v>0</v>
      </c>
      <c r="D484" s="466"/>
      <c r="E484" s="599"/>
      <c r="F484" s="893">
        <f t="shared" si="48"/>
        <v>0</v>
      </c>
    </row>
    <row r="485" spans="1:6" s="13" customFormat="1" hidden="1" x14ac:dyDescent="0.3">
      <c r="A485" s="1667"/>
      <c r="B485" s="306"/>
      <c r="C485" s="466">
        <f t="shared" si="51"/>
        <v>0</v>
      </c>
      <c r="D485" s="466"/>
      <c r="E485" s="599"/>
      <c r="F485" s="893">
        <f t="shared" si="48"/>
        <v>0</v>
      </c>
    </row>
    <row r="486" spans="1:6" s="13" customFormat="1" hidden="1" x14ac:dyDescent="0.3">
      <c r="A486" s="1667"/>
      <c r="B486" s="306"/>
      <c r="C486" s="466">
        <f t="shared" si="51"/>
        <v>0</v>
      </c>
      <c r="D486" s="466"/>
      <c r="E486" s="599"/>
      <c r="F486" s="893">
        <f t="shared" si="48"/>
        <v>0</v>
      </c>
    </row>
    <row r="487" spans="1:6" s="13" customFormat="1" hidden="1" x14ac:dyDescent="0.3">
      <c r="A487" s="1667"/>
      <c r="B487" s="306"/>
      <c r="C487" s="466">
        <f t="shared" si="51"/>
        <v>0</v>
      </c>
      <c r="D487" s="466"/>
      <c r="E487" s="599"/>
      <c r="F487" s="893">
        <f t="shared" si="48"/>
        <v>0</v>
      </c>
    </row>
    <row r="488" spans="1:6" s="13" customFormat="1" hidden="1" x14ac:dyDescent="0.3">
      <c r="A488" s="1667"/>
      <c r="B488" s="306"/>
      <c r="C488" s="466">
        <f t="shared" si="51"/>
        <v>0</v>
      </c>
      <c r="D488" s="466"/>
      <c r="E488" s="599"/>
      <c r="F488" s="893">
        <f t="shared" si="48"/>
        <v>0</v>
      </c>
    </row>
    <row r="489" spans="1:6" s="13" customFormat="1" hidden="1" x14ac:dyDescent="0.3">
      <c r="A489" s="1667"/>
      <c r="B489" s="306"/>
      <c r="C489" s="466">
        <f t="shared" si="51"/>
        <v>0</v>
      </c>
      <c r="D489" s="466"/>
      <c r="E489" s="599"/>
      <c r="F489" s="893">
        <f t="shared" si="48"/>
        <v>0</v>
      </c>
    </row>
    <row r="490" spans="1:6" s="13" customFormat="1" hidden="1" x14ac:dyDescent="0.3">
      <c r="A490" s="1667"/>
      <c r="B490" s="306"/>
      <c r="C490" s="466">
        <f t="shared" si="51"/>
        <v>0</v>
      </c>
      <c r="D490" s="466"/>
      <c r="E490" s="599"/>
      <c r="F490" s="893">
        <f t="shared" si="48"/>
        <v>0</v>
      </c>
    </row>
    <row r="491" spans="1:6" s="13" customFormat="1" hidden="1" x14ac:dyDescent="0.3">
      <c r="A491" s="1673"/>
      <c r="B491" s="306" t="s">
        <v>740</v>
      </c>
      <c r="C491" s="466">
        <f>SUM(C481:C490)</f>
        <v>0</v>
      </c>
      <c r="D491" s="466">
        <f>SUM(D481:D490)</f>
        <v>0</v>
      </c>
      <c r="E491" s="466">
        <f>SUM(E481:E490)</f>
        <v>0</v>
      </c>
      <c r="F491" s="893">
        <f t="shared" si="48"/>
        <v>0</v>
      </c>
    </row>
    <row r="492" spans="1:6" s="13" customFormat="1" hidden="1" x14ac:dyDescent="0.3">
      <c r="A492" s="1669" t="s">
        <v>1112</v>
      </c>
      <c r="B492" s="306"/>
      <c r="C492" s="466">
        <f>SUM(D492:E492)</f>
        <v>0</v>
      </c>
      <c r="D492" s="466"/>
      <c r="E492" s="599"/>
      <c r="F492" s="893">
        <f t="shared" si="48"/>
        <v>0</v>
      </c>
    </row>
    <row r="493" spans="1:6" s="13" customFormat="1" hidden="1" x14ac:dyDescent="0.3">
      <c r="A493" s="1667"/>
      <c r="B493" s="306"/>
      <c r="C493" s="466">
        <f t="shared" ref="C493:C501" si="52">SUM(D493:E493)</f>
        <v>0</v>
      </c>
      <c r="D493" s="466"/>
      <c r="E493" s="599"/>
      <c r="F493" s="893">
        <f t="shared" si="48"/>
        <v>0</v>
      </c>
    </row>
    <row r="494" spans="1:6" s="13" customFormat="1" hidden="1" x14ac:dyDescent="0.3">
      <c r="A494" s="1667"/>
      <c r="B494" s="306"/>
      <c r="C494" s="466">
        <f t="shared" si="52"/>
        <v>0</v>
      </c>
      <c r="D494" s="466"/>
      <c r="E494" s="599"/>
      <c r="F494" s="893">
        <f t="shared" si="48"/>
        <v>0</v>
      </c>
    </row>
    <row r="495" spans="1:6" s="13" customFormat="1" hidden="1" x14ac:dyDescent="0.3">
      <c r="A495" s="1667"/>
      <c r="B495" s="306"/>
      <c r="C495" s="466">
        <f t="shared" si="52"/>
        <v>0</v>
      </c>
      <c r="D495" s="466"/>
      <c r="E495" s="599"/>
      <c r="F495" s="893">
        <f t="shared" si="48"/>
        <v>0</v>
      </c>
    </row>
    <row r="496" spans="1:6" s="13" customFormat="1" hidden="1" x14ac:dyDescent="0.3">
      <c r="A496" s="1667"/>
      <c r="B496" s="306"/>
      <c r="C496" s="466">
        <f t="shared" si="52"/>
        <v>0</v>
      </c>
      <c r="D496" s="466"/>
      <c r="E496" s="599"/>
      <c r="F496" s="893">
        <f t="shared" si="48"/>
        <v>0</v>
      </c>
    </row>
    <row r="497" spans="1:6" s="13" customFormat="1" hidden="1" x14ac:dyDescent="0.3">
      <c r="A497" s="1667"/>
      <c r="B497" s="306"/>
      <c r="C497" s="466">
        <f t="shared" si="52"/>
        <v>0</v>
      </c>
      <c r="D497" s="466"/>
      <c r="E497" s="599"/>
      <c r="F497" s="893">
        <f t="shared" si="48"/>
        <v>0</v>
      </c>
    </row>
    <row r="498" spans="1:6" s="13" customFormat="1" hidden="1" x14ac:dyDescent="0.3">
      <c r="A498" s="1667"/>
      <c r="B498" s="306"/>
      <c r="C498" s="466">
        <f t="shared" si="52"/>
        <v>0</v>
      </c>
      <c r="D498" s="466"/>
      <c r="E498" s="599"/>
      <c r="F498" s="893">
        <f t="shared" si="48"/>
        <v>0</v>
      </c>
    </row>
    <row r="499" spans="1:6" s="13" customFormat="1" hidden="1" x14ac:dyDescent="0.3">
      <c r="A499" s="1667"/>
      <c r="B499" s="306"/>
      <c r="C499" s="466">
        <f t="shared" si="52"/>
        <v>0</v>
      </c>
      <c r="D499" s="466"/>
      <c r="E499" s="599"/>
      <c r="F499" s="893">
        <f t="shared" si="48"/>
        <v>0</v>
      </c>
    </row>
    <row r="500" spans="1:6" s="13" customFormat="1" hidden="1" x14ac:dyDescent="0.3">
      <c r="A500" s="1667"/>
      <c r="B500" s="306"/>
      <c r="C500" s="466">
        <f t="shared" si="52"/>
        <v>0</v>
      </c>
      <c r="D500" s="466"/>
      <c r="E500" s="599"/>
      <c r="F500" s="893">
        <f t="shared" si="48"/>
        <v>0</v>
      </c>
    </row>
    <row r="501" spans="1:6" s="13" customFormat="1" hidden="1" x14ac:dyDescent="0.3">
      <c r="A501" s="1667"/>
      <c r="B501" s="306"/>
      <c r="C501" s="466">
        <f t="shared" si="52"/>
        <v>0</v>
      </c>
      <c r="D501" s="466"/>
      <c r="E501" s="599"/>
      <c r="F501" s="893">
        <f t="shared" si="48"/>
        <v>0</v>
      </c>
    </row>
    <row r="502" spans="1:6" s="13" customFormat="1" hidden="1" x14ac:dyDescent="0.3">
      <c r="A502" s="1673"/>
      <c r="B502" s="306" t="s">
        <v>740</v>
      </c>
      <c r="C502" s="466">
        <f>SUM(C492:C501)</f>
        <v>0</v>
      </c>
      <c r="D502" s="466">
        <f>SUM(D492:D501)</f>
        <v>0</v>
      </c>
      <c r="E502" s="466">
        <f>SUM(E492:E501)</f>
        <v>0</v>
      </c>
      <c r="F502" s="893">
        <f t="shared" si="48"/>
        <v>0</v>
      </c>
    </row>
    <row r="503" spans="1:6" ht="112.5" x14ac:dyDescent="0.3">
      <c r="A503" s="1674" t="s">
        <v>1113</v>
      </c>
      <c r="B503" s="1066" t="s">
        <v>1426</v>
      </c>
      <c r="C503" s="586">
        <f>D503+E503</f>
        <v>902000</v>
      </c>
      <c r="D503" s="565"/>
      <c r="E503" s="586">
        <v>902000</v>
      </c>
      <c r="F503" s="893">
        <f t="shared" si="48"/>
        <v>1804000</v>
      </c>
    </row>
    <row r="504" spans="1:6" s="13" customFormat="1" hidden="1" x14ac:dyDescent="0.3">
      <c r="A504" s="1667"/>
      <c r="B504" s="306"/>
      <c r="C504" s="466">
        <f t="shared" ref="C504:C512" si="53">SUM(D504:E504)</f>
        <v>0</v>
      </c>
      <c r="D504" s="466"/>
      <c r="E504" s="599"/>
      <c r="F504" s="893">
        <f t="shared" si="48"/>
        <v>0</v>
      </c>
    </row>
    <row r="505" spans="1:6" s="13" customFormat="1" hidden="1" x14ac:dyDescent="0.3">
      <c r="A505" s="1667"/>
      <c r="B505" s="306"/>
      <c r="C505" s="466">
        <f t="shared" si="53"/>
        <v>0</v>
      </c>
      <c r="D505" s="466"/>
      <c r="E505" s="599"/>
      <c r="F505" s="893">
        <f t="shared" si="48"/>
        <v>0</v>
      </c>
    </row>
    <row r="506" spans="1:6" s="13" customFormat="1" hidden="1" x14ac:dyDescent="0.3">
      <c r="A506" s="1667"/>
      <c r="B506" s="306"/>
      <c r="C506" s="466">
        <f t="shared" si="53"/>
        <v>0</v>
      </c>
      <c r="D506" s="466"/>
      <c r="E506" s="599"/>
      <c r="F506" s="893">
        <f t="shared" si="48"/>
        <v>0</v>
      </c>
    </row>
    <row r="507" spans="1:6" s="13" customFormat="1" hidden="1" x14ac:dyDescent="0.3">
      <c r="A507" s="1667"/>
      <c r="B507" s="306"/>
      <c r="C507" s="466">
        <f t="shared" si="53"/>
        <v>0</v>
      </c>
      <c r="D507" s="466"/>
      <c r="E507" s="599"/>
      <c r="F507" s="893">
        <f t="shared" si="48"/>
        <v>0</v>
      </c>
    </row>
    <row r="508" spans="1:6" s="13" customFormat="1" hidden="1" x14ac:dyDescent="0.3">
      <c r="A508" s="1667"/>
      <c r="B508" s="306"/>
      <c r="C508" s="466">
        <f t="shared" si="53"/>
        <v>0</v>
      </c>
      <c r="D508" s="466"/>
      <c r="E508" s="599"/>
      <c r="F508" s="893">
        <f t="shared" si="48"/>
        <v>0</v>
      </c>
    </row>
    <row r="509" spans="1:6" s="13" customFormat="1" hidden="1" x14ac:dyDescent="0.3">
      <c r="A509" s="1667"/>
      <c r="B509" s="306"/>
      <c r="C509" s="466">
        <f t="shared" si="53"/>
        <v>0</v>
      </c>
      <c r="D509" s="466"/>
      <c r="E509" s="599"/>
      <c r="F509" s="893">
        <f t="shared" si="48"/>
        <v>0</v>
      </c>
    </row>
    <row r="510" spans="1:6" s="13" customFormat="1" hidden="1" x14ac:dyDescent="0.3">
      <c r="A510" s="1667"/>
      <c r="B510" s="306"/>
      <c r="C510" s="466">
        <f t="shared" si="53"/>
        <v>0</v>
      </c>
      <c r="D510" s="466"/>
      <c r="E510" s="599"/>
      <c r="F510" s="893">
        <f t="shared" si="48"/>
        <v>0</v>
      </c>
    </row>
    <row r="511" spans="1:6" s="13" customFormat="1" hidden="1" x14ac:dyDescent="0.3">
      <c r="A511" s="1667"/>
      <c r="B511" s="306"/>
      <c r="C511" s="466">
        <f t="shared" si="53"/>
        <v>0</v>
      </c>
      <c r="D511" s="466"/>
      <c r="E511" s="599"/>
      <c r="F511" s="893">
        <f t="shared" si="48"/>
        <v>0</v>
      </c>
    </row>
    <row r="512" spans="1:6" s="13" customFormat="1" hidden="1" x14ac:dyDescent="0.3">
      <c r="A512" s="1667"/>
      <c r="B512" s="306"/>
      <c r="C512" s="466">
        <f t="shared" si="53"/>
        <v>0</v>
      </c>
      <c r="D512" s="466"/>
      <c r="E512" s="599"/>
      <c r="F512" s="893">
        <f t="shared" si="48"/>
        <v>0</v>
      </c>
    </row>
    <row r="513" spans="1:6" x14ac:dyDescent="0.3">
      <c r="A513" s="1675"/>
      <c r="B513" s="862" t="s">
        <v>740</v>
      </c>
      <c r="C513" s="1438">
        <f>SUM(C503:C512)</f>
        <v>902000</v>
      </c>
      <c r="D513" s="1438">
        <f>SUM(D503:D512)</f>
        <v>0</v>
      </c>
      <c r="E513" s="1438">
        <f>SUM(E503:E512)</f>
        <v>902000</v>
      </c>
      <c r="F513" s="893">
        <f t="shared" si="48"/>
        <v>1804000</v>
      </c>
    </row>
    <row r="514" spans="1:6" s="13" customFormat="1" hidden="1" x14ac:dyDescent="0.3">
      <c r="A514" s="1669" t="s">
        <v>1114</v>
      </c>
      <c r="B514" s="306"/>
      <c r="C514" s="466">
        <f>SUM(D514:E514)</f>
        <v>0</v>
      </c>
      <c r="D514" s="466"/>
      <c r="E514" s="599"/>
      <c r="F514" s="893">
        <f t="shared" si="48"/>
        <v>0</v>
      </c>
    </row>
    <row r="515" spans="1:6" s="13" customFormat="1" hidden="1" x14ac:dyDescent="0.3">
      <c r="A515" s="1667"/>
      <c r="B515" s="306"/>
      <c r="C515" s="466">
        <f t="shared" ref="C515:C523" si="54">SUM(D515:E515)</f>
        <v>0</v>
      </c>
      <c r="D515" s="466"/>
      <c r="E515" s="599"/>
      <c r="F515" s="893">
        <f t="shared" si="48"/>
        <v>0</v>
      </c>
    </row>
    <row r="516" spans="1:6" s="13" customFormat="1" hidden="1" x14ac:dyDescent="0.3">
      <c r="A516" s="1667"/>
      <c r="B516" s="306"/>
      <c r="C516" s="466">
        <f t="shared" si="54"/>
        <v>0</v>
      </c>
      <c r="D516" s="466"/>
      <c r="E516" s="599"/>
      <c r="F516" s="893">
        <f t="shared" si="48"/>
        <v>0</v>
      </c>
    </row>
    <row r="517" spans="1:6" s="13" customFormat="1" hidden="1" x14ac:dyDescent="0.3">
      <c r="A517" s="1667"/>
      <c r="B517" s="306"/>
      <c r="C517" s="466">
        <f t="shared" si="54"/>
        <v>0</v>
      </c>
      <c r="D517" s="466"/>
      <c r="E517" s="599"/>
      <c r="F517" s="893">
        <f t="shared" si="48"/>
        <v>0</v>
      </c>
    </row>
    <row r="518" spans="1:6" s="13" customFormat="1" hidden="1" x14ac:dyDescent="0.3">
      <c r="A518" s="1667"/>
      <c r="B518" s="306"/>
      <c r="C518" s="466">
        <f t="shared" si="54"/>
        <v>0</v>
      </c>
      <c r="D518" s="466"/>
      <c r="E518" s="599"/>
      <c r="F518" s="893">
        <f t="shared" si="48"/>
        <v>0</v>
      </c>
    </row>
    <row r="519" spans="1:6" s="13" customFormat="1" hidden="1" x14ac:dyDescent="0.3">
      <c r="A519" s="1667"/>
      <c r="B519" s="306"/>
      <c r="C519" s="466">
        <f t="shared" si="54"/>
        <v>0</v>
      </c>
      <c r="D519" s="466"/>
      <c r="E519" s="599"/>
      <c r="F519" s="893">
        <f t="shared" si="48"/>
        <v>0</v>
      </c>
    </row>
    <row r="520" spans="1:6" s="13" customFormat="1" hidden="1" x14ac:dyDescent="0.3">
      <c r="A520" s="1667"/>
      <c r="B520" s="306"/>
      <c r="C520" s="466">
        <f t="shared" si="54"/>
        <v>0</v>
      </c>
      <c r="D520" s="466"/>
      <c r="E520" s="599"/>
      <c r="F520" s="893">
        <f t="shared" si="48"/>
        <v>0</v>
      </c>
    </row>
    <row r="521" spans="1:6" s="13" customFormat="1" hidden="1" x14ac:dyDescent="0.3">
      <c r="A521" s="1667"/>
      <c r="B521" s="306"/>
      <c r="C521" s="466">
        <f t="shared" si="54"/>
        <v>0</v>
      </c>
      <c r="D521" s="466"/>
      <c r="E521" s="599"/>
      <c r="F521" s="893">
        <f t="shared" si="48"/>
        <v>0</v>
      </c>
    </row>
    <row r="522" spans="1:6" s="13" customFormat="1" hidden="1" x14ac:dyDescent="0.3">
      <c r="A522" s="1667"/>
      <c r="B522" s="306"/>
      <c r="C522" s="466">
        <f t="shared" si="54"/>
        <v>0</v>
      </c>
      <c r="D522" s="466"/>
      <c r="E522" s="599"/>
      <c r="F522" s="893">
        <f t="shared" si="48"/>
        <v>0</v>
      </c>
    </row>
    <row r="523" spans="1:6" s="13" customFormat="1" hidden="1" x14ac:dyDescent="0.3">
      <c r="A523" s="1667"/>
      <c r="B523" s="306"/>
      <c r="C523" s="466">
        <f t="shared" si="54"/>
        <v>0</v>
      </c>
      <c r="D523" s="466"/>
      <c r="E523" s="599"/>
      <c r="F523" s="893">
        <f t="shared" ref="F523:F586" si="55">SUM(C523:E523)</f>
        <v>0</v>
      </c>
    </row>
    <row r="524" spans="1:6" s="13" customFormat="1" hidden="1" x14ac:dyDescent="0.3">
      <c r="A524" s="1673"/>
      <c r="B524" s="306" t="s">
        <v>740</v>
      </c>
      <c r="C524" s="466">
        <f>SUM(C514:C523)</f>
        <v>0</v>
      </c>
      <c r="D524" s="466">
        <f>SUM(D514:D523)</f>
        <v>0</v>
      </c>
      <c r="E524" s="466">
        <f>SUM(E514:E523)</f>
        <v>0</v>
      </c>
      <c r="F524" s="893">
        <f t="shared" si="55"/>
        <v>0</v>
      </c>
    </row>
    <row r="525" spans="1:6" ht="131.25" x14ac:dyDescent="0.3">
      <c r="A525" s="1674" t="s">
        <v>1115</v>
      </c>
      <c r="B525" s="506" t="s">
        <v>1842</v>
      </c>
      <c r="C525" s="892">
        <f>D525+E525</f>
        <v>11000</v>
      </c>
      <c r="D525" s="892"/>
      <c r="E525" s="892">
        <v>11000</v>
      </c>
      <c r="F525" s="893">
        <f t="shared" si="55"/>
        <v>22000</v>
      </c>
    </row>
    <row r="526" spans="1:6" s="13" customFormat="1" hidden="1" x14ac:dyDescent="0.3">
      <c r="A526" s="1667"/>
      <c r="B526" s="306"/>
      <c r="C526" s="466">
        <f t="shared" ref="C526:C534" si="56">SUM(D526:E526)</f>
        <v>0</v>
      </c>
      <c r="D526" s="466"/>
      <c r="E526" s="599"/>
      <c r="F526" s="893">
        <f t="shared" si="55"/>
        <v>0</v>
      </c>
    </row>
    <row r="527" spans="1:6" s="13" customFormat="1" hidden="1" x14ac:dyDescent="0.3">
      <c r="A527" s="1667"/>
      <c r="B527" s="306"/>
      <c r="C527" s="466">
        <f t="shared" si="56"/>
        <v>0</v>
      </c>
      <c r="D527" s="466"/>
      <c r="E527" s="599"/>
      <c r="F527" s="893">
        <f t="shared" si="55"/>
        <v>0</v>
      </c>
    </row>
    <row r="528" spans="1:6" s="13" customFormat="1" hidden="1" x14ac:dyDescent="0.3">
      <c r="A528" s="1667"/>
      <c r="B528" s="306"/>
      <c r="C528" s="466">
        <f t="shared" si="56"/>
        <v>0</v>
      </c>
      <c r="D528" s="466"/>
      <c r="E528" s="599"/>
      <c r="F528" s="893">
        <f t="shared" si="55"/>
        <v>0</v>
      </c>
    </row>
    <row r="529" spans="1:6" s="13" customFormat="1" hidden="1" x14ac:dyDescent="0.3">
      <c r="A529" s="1667"/>
      <c r="B529" s="306"/>
      <c r="C529" s="466">
        <f t="shared" si="56"/>
        <v>0</v>
      </c>
      <c r="D529" s="466"/>
      <c r="E529" s="599"/>
      <c r="F529" s="893">
        <f t="shared" si="55"/>
        <v>0</v>
      </c>
    </row>
    <row r="530" spans="1:6" s="13" customFormat="1" hidden="1" x14ac:dyDescent="0.3">
      <c r="A530" s="1667"/>
      <c r="B530" s="306"/>
      <c r="C530" s="466">
        <f t="shared" si="56"/>
        <v>0</v>
      </c>
      <c r="D530" s="466"/>
      <c r="E530" s="599"/>
      <c r="F530" s="893">
        <f t="shared" si="55"/>
        <v>0</v>
      </c>
    </row>
    <row r="531" spans="1:6" s="13" customFormat="1" hidden="1" x14ac:dyDescent="0.3">
      <c r="A531" s="1667"/>
      <c r="B531" s="306"/>
      <c r="C531" s="466">
        <f t="shared" si="56"/>
        <v>0</v>
      </c>
      <c r="D531" s="466"/>
      <c r="E531" s="599"/>
      <c r="F531" s="893">
        <f t="shared" si="55"/>
        <v>0</v>
      </c>
    </row>
    <row r="532" spans="1:6" s="13" customFormat="1" hidden="1" x14ac:dyDescent="0.3">
      <c r="A532" s="1667"/>
      <c r="B532" s="306"/>
      <c r="C532" s="466">
        <f t="shared" si="56"/>
        <v>0</v>
      </c>
      <c r="D532" s="466"/>
      <c r="E532" s="599"/>
      <c r="F532" s="893">
        <f t="shared" si="55"/>
        <v>0</v>
      </c>
    </row>
    <row r="533" spans="1:6" s="13" customFormat="1" hidden="1" x14ac:dyDescent="0.3">
      <c r="A533" s="1667"/>
      <c r="B533" s="306"/>
      <c r="C533" s="466">
        <f t="shared" si="56"/>
        <v>0</v>
      </c>
      <c r="D533" s="466"/>
      <c r="E533" s="599"/>
      <c r="F533" s="893">
        <f t="shared" si="55"/>
        <v>0</v>
      </c>
    </row>
    <row r="534" spans="1:6" s="13" customFormat="1" hidden="1" x14ac:dyDescent="0.3">
      <c r="A534" s="1667"/>
      <c r="B534" s="306"/>
      <c r="C534" s="466">
        <f t="shared" si="56"/>
        <v>0</v>
      </c>
      <c r="D534" s="466"/>
      <c r="E534" s="599"/>
      <c r="F534" s="893">
        <f t="shared" si="55"/>
        <v>0</v>
      </c>
    </row>
    <row r="535" spans="1:6" x14ac:dyDescent="0.3">
      <c r="A535" s="1675"/>
      <c r="B535" s="815" t="s">
        <v>740</v>
      </c>
      <c r="C535" s="1438">
        <f>SUM(C525:C534)</f>
        <v>11000</v>
      </c>
      <c r="D535" s="1438">
        <f>SUM(D525:D534)</f>
        <v>0</v>
      </c>
      <c r="E535" s="1438">
        <f>SUM(E525:E534)</f>
        <v>11000</v>
      </c>
      <c r="F535" s="893">
        <f t="shared" si="55"/>
        <v>22000</v>
      </c>
    </row>
    <row r="536" spans="1:6" ht="131.25" x14ac:dyDescent="0.3">
      <c r="A536" s="1674" t="s">
        <v>1116</v>
      </c>
      <c r="B536" s="1601" t="s">
        <v>1807</v>
      </c>
      <c r="C536" s="565">
        <f>D536+E536</f>
        <v>1937204.81</v>
      </c>
      <c r="D536" s="565"/>
      <c r="E536" s="586">
        <v>1937204.81</v>
      </c>
      <c r="F536" s="893">
        <f t="shared" si="55"/>
        <v>3874409.62</v>
      </c>
    </row>
    <row r="537" spans="1:6" s="13" customFormat="1" hidden="1" x14ac:dyDescent="0.3">
      <c r="A537" s="1667"/>
      <c r="B537" s="306"/>
      <c r="C537" s="466">
        <f t="shared" ref="C537:C545" si="57">SUM(D537:E537)</f>
        <v>0</v>
      </c>
      <c r="D537" s="466"/>
      <c r="E537" s="599"/>
      <c r="F537" s="893">
        <f t="shared" si="55"/>
        <v>0</v>
      </c>
    </row>
    <row r="538" spans="1:6" s="13" customFormat="1" hidden="1" x14ac:dyDescent="0.3">
      <c r="A538" s="1667"/>
      <c r="B538" s="306"/>
      <c r="C538" s="466">
        <f t="shared" si="57"/>
        <v>0</v>
      </c>
      <c r="D538" s="466"/>
      <c r="E538" s="599"/>
      <c r="F538" s="893">
        <f t="shared" si="55"/>
        <v>0</v>
      </c>
    </row>
    <row r="539" spans="1:6" s="13" customFormat="1" hidden="1" x14ac:dyDescent="0.3">
      <c r="A539" s="1667"/>
      <c r="B539" s="306"/>
      <c r="C539" s="466">
        <f t="shared" si="57"/>
        <v>0</v>
      </c>
      <c r="D539" s="466"/>
      <c r="E539" s="599"/>
      <c r="F539" s="893">
        <f t="shared" si="55"/>
        <v>0</v>
      </c>
    </row>
    <row r="540" spans="1:6" s="13" customFormat="1" hidden="1" x14ac:dyDescent="0.3">
      <c r="A540" s="1667"/>
      <c r="B540" s="306"/>
      <c r="C540" s="466">
        <f t="shared" si="57"/>
        <v>0</v>
      </c>
      <c r="D540" s="466"/>
      <c r="E540" s="599"/>
      <c r="F540" s="893">
        <f t="shared" si="55"/>
        <v>0</v>
      </c>
    </row>
    <row r="541" spans="1:6" s="13" customFormat="1" hidden="1" x14ac:dyDescent="0.3">
      <c r="A541" s="1667"/>
      <c r="B541" s="306"/>
      <c r="C541" s="466">
        <f t="shared" si="57"/>
        <v>0</v>
      </c>
      <c r="D541" s="466"/>
      <c r="E541" s="599"/>
      <c r="F541" s="893">
        <f t="shared" si="55"/>
        <v>0</v>
      </c>
    </row>
    <row r="542" spans="1:6" s="13" customFormat="1" hidden="1" x14ac:dyDescent="0.3">
      <c r="A542" s="1667"/>
      <c r="B542" s="306"/>
      <c r="C542" s="466">
        <f t="shared" si="57"/>
        <v>0</v>
      </c>
      <c r="D542" s="466"/>
      <c r="E542" s="599"/>
      <c r="F542" s="893">
        <f t="shared" si="55"/>
        <v>0</v>
      </c>
    </row>
    <row r="543" spans="1:6" s="13" customFormat="1" hidden="1" x14ac:dyDescent="0.3">
      <c r="A543" s="1667"/>
      <c r="B543" s="306"/>
      <c r="C543" s="466">
        <f t="shared" si="57"/>
        <v>0</v>
      </c>
      <c r="D543" s="466"/>
      <c r="E543" s="599"/>
      <c r="F543" s="893">
        <f t="shared" si="55"/>
        <v>0</v>
      </c>
    </row>
    <row r="544" spans="1:6" s="13" customFormat="1" hidden="1" x14ac:dyDescent="0.3">
      <c r="A544" s="1667"/>
      <c r="B544" s="306"/>
      <c r="C544" s="466">
        <f t="shared" si="57"/>
        <v>0</v>
      </c>
      <c r="D544" s="466"/>
      <c r="E544" s="599"/>
      <c r="F544" s="893">
        <f t="shared" si="55"/>
        <v>0</v>
      </c>
    </row>
    <row r="545" spans="1:6" s="13" customFormat="1" hidden="1" x14ac:dyDescent="0.3">
      <c r="A545" s="1667"/>
      <c r="B545" s="306"/>
      <c r="C545" s="466">
        <f t="shared" si="57"/>
        <v>0</v>
      </c>
      <c r="D545" s="466"/>
      <c r="E545" s="599"/>
      <c r="F545" s="893">
        <f t="shared" si="55"/>
        <v>0</v>
      </c>
    </row>
    <row r="546" spans="1:6" x14ac:dyDescent="0.3">
      <c r="A546" s="1675"/>
      <c r="B546" s="862" t="s">
        <v>740</v>
      </c>
      <c r="C546" s="1438">
        <f>SUM(C536:C545)</f>
        <v>1937204.81</v>
      </c>
      <c r="D546" s="1438">
        <f>SUM(D536:D545)</f>
        <v>0</v>
      </c>
      <c r="E546" s="1438">
        <f>SUM(E536:E545)</f>
        <v>1937204.81</v>
      </c>
      <c r="F546" s="893">
        <f t="shared" si="55"/>
        <v>3874409.62</v>
      </c>
    </row>
    <row r="547" spans="1:6" ht="150" x14ac:dyDescent="0.3">
      <c r="A547" s="1674" t="s">
        <v>1117</v>
      </c>
      <c r="B547" s="1066" t="s">
        <v>1808</v>
      </c>
      <c r="C547" s="586">
        <f>D547+E547</f>
        <v>582900</v>
      </c>
      <c r="D547" s="565"/>
      <c r="E547" s="586">
        <f>1000000-417100</f>
        <v>582900</v>
      </c>
      <c r="F547" s="893">
        <f t="shared" si="55"/>
        <v>1165800</v>
      </c>
    </row>
    <row r="548" spans="1:6" ht="206.25" x14ac:dyDescent="0.3">
      <c r="A548" s="1676"/>
      <c r="B548" s="1066" t="s">
        <v>1809</v>
      </c>
      <c r="C548" s="586">
        <f>D548+E548</f>
        <v>500000</v>
      </c>
      <c r="D548" s="565"/>
      <c r="E548" s="586">
        <v>500000</v>
      </c>
      <c r="F548" s="893">
        <f t="shared" si="55"/>
        <v>1000000</v>
      </c>
    </row>
    <row r="549" spans="1:6" s="13" customFormat="1" hidden="1" x14ac:dyDescent="0.3">
      <c r="A549" s="1667"/>
      <c r="B549" s="1387"/>
      <c r="C549" s="1388"/>
      <c r="D549" s="1388"/>
      <c r="E549" s="1388"/>
      <c r="F549" s="893">
        <f t="shared" si="55"/>
        <v>0</v>
      </c>
    </row>
    <row r="550" spans="1:6" s="13" customFormat="1" hidden="1" x14ac:dyDescent="0.3">
      <c r="A550" s="1667"/>
      <c r="B550" s="306"/>
      <c r="C550" s="466">
        <f t="shared" ref="C550:C556" si="58">SUM(D550:E550)</f>
        <v>0</v>
      </c>
      <c r="D550" s="466"/>
      <c r="E550" s="599"/>
      <c r="F550" s="893">
        <f t="shared" si="55"/>
        <v>0</v>
      </c>
    </row>
    <row r="551" spans="1:6" s="13" customFormat="1" hidden="1" x14ac:dyDescent="0.3">
      <c r="A551" s="1667"/>
      <c r="B551" s="306"/>
      <c r="C551" s="466">
        <f t="shared" si="58"/>
        <v>0</v>
      </c>
      <c r="D551" s="466"/>
      <c r="E551" s="599"/>
      <c r="F551" s="893">
        <f t="shared" si="55"/>
        <v>0</v>
      </c>
    </row>
    <row r="552" spans="1:6" s="13" customFormat="1" hidden="1" x14ac:dyDescent="0.3">
      <c r="A552" s="1667"/>
      <c r="B552" s="306"/>
      <c r="C552" s="466">
        <f t="shared" si="58"/>
        <v>0</v>
      </c>
      <c r="D552" s="466"/>
      <c r="E552" s="599"/>
      <c r="F552" s="893">
        <f t="shared" si="55"/>
        <v>0</v>
      </c>
    </row>
    <row r="553" spans="1:6" s="13" customFormat="1" hidden="1" x14ac:dyDescent="0.3">
      <c r="A553" s="1667"/>
      <c r="B553" s="306"/>
      <c r="C553" s="466">
        <f t="shared" si="58"/>
        <v>0</v>
      </c>
      <c r="D553" s="466"/>
      <c r="E553" s="599"/>
      <c r="F553" s="893">
        <f t="shared" si="55"/>
        <v>0</v>
      </c>
    </row>
    <row r="554" spans="1:6" s="13" customFormat="1" hidden="1" x14ac:dyDescent="0.3">
      <c r="A554" s="1667"/>
      <c r="B554" s="306"/>
      <c r="C554" s="466">
        <f t="shared" si="58"/>
        <v>0</v>
      </c>
      <c r="D554" s="466"/>
      <c r="E554" s="599"/>
      <c r="F554" s="893">
        <f t="shared" si="55"/>
        <v>0</v>
      </c>
    </row>
    <row r="555" spans="1:6" s="13" customFormat="1" hidden="1" x14ac:dyDescent="0.3">
      <c r="A555" s="1667"/>
      <c r="B555" s="306"/>
      <c r="C555" s="466">
        <f t="shared" si="58"/>
        <v>0</v>
      </c>
      <c r="D555" s="466"/>
      <c r="E555" s="599"/>
      <c r="F555" s="893">
        <f t="shared" si="55"/>
        <v>0</v>
      </c>
    </row>
    <row r="556" spans="1:6" s="13" customFormat="1" hidden="1" x14ac:dyDescent="0.3">
      <c r="A556" s="1667"/>
      <c r="B556" s="306"/>
      <c r="C556" s="466">
        <f t="shared" si="58"/>
        <v>0</v>
      </c>
      <c r="D556" s="466"/>
      <c r="E556" s="599"/>
      <c r="F556" s="893">
        <f t="shared" si="55"/>
        <v>0</v>
      </c>
    </row>
    <row r="557" spans="1:6" x14ac:dyDescent="0.3">
      <c r="A557" s="1675"/>
      <c r="B557" s="862" t="s">
        <v>740</v>
      </c>
      <c r="C557" s="1438">
        <f>SUM(C547:C556)</f>
        <v>1082900</v>
      </c>
      <c r="D557" s="1438">
        <f>SUM(D547:D556)</f>
        <v>0</v>
      </c>
      <c r="E557" s="1438">
        <f>SUM(E547:E556)</f>
        <v>1082900</v>
      </c>
      <c r="F557" s="893">
        <f t="shared" si="55"/>
        <v>2165800</v>
      </c>
    </row>
    <row r="558" spans="1:6" ht="112.5" x14ac:dyDescent="0.3">
      <c r="A558" s="1674" t="s">
        <v>1119</v>
      </c>
      <c r="B558" s="1600" t="s">
        <v>1854</v>
      </c>
      <c r="C558" s="565">
        <f>D558+E558</f>
        <v>11000</v>
      </c>
      <c r="D558" s="565"/>
      <c r="E558" s="565">
        <v>11000</v>
      </c>
      <c r="F558" s="893">
        <f t="shared" si="55"/>
        <v>22000</v>
      </c>
    </row>
    <row r="559" spans="1:6" s="13" customFormat="1" hidden="1" x14ac:dyDescent="0.3">
      <c r="A559" s="1667"/>
      <c r="B559" s="306"/>
      <c r="C559" s="466">
        <f t="shared" ref="C559:C567" si="59">SUM(D559:E559)</f>
        <v>0</v>
      </c>
      <c r="D559" s="466"/>
      <c r="E559" s="599"/>
      <c r="F559" s="893">
        <f t="shared" si="55"/>
        <v>0</v>
      </c>
    </row>
    <row r="560" spans="1:6" s="13" customFormat="1" hidden="1" x14ac:dyDescent="0.3">
      <c r="A560" s="1667"/>
      <c r="B560" s="306"/>
      <c r="C560" s="466">
        <f t="shared" si="59"/>
        <v>0</v>
      </c>
      <c r="D560" s="466"/>
      <c r="E560" s="599"/>
      <c r="F560" s="893">
        <f t="shared" si="55"/>
        <v>0</v>
      </c>
    </row>
    <row r="561" spans="1:6" s="13" customFormat="1" hidden="1" x14ac:dyDescent="0.3">
      <c r="A561" s="1667"/>
      <c r="B561" s="306"/>
      <c r="C561" s="466">
        <f t="shared" si="59"/>
        <v>0</v>
      </c>
      <c r="D561" s="466"/>
      <c r="E561" s="599"/>
      <c r="F561" s="893">
        <f t="shared" si="55"/>
        <v>0</v>
      </c>
    </row>
    <row r="562" spans="1:6" s="13" customFormat="1" hidden="1" x14ac:dyDescent="0.3">
      <c r="A562" s="1667"/>
      <c r="B562" s="306"/>
      <c r="C562" s="466">
        <f t="shared" si="59"/>
        <v>0</v>
      </c>
      <c r="D562" s="466"/>
      <c r="E562" s="599"/>
      <c r="F562" s="893">
        <f t="shared" si="55"/>
        <v>0</v>
      </c>
    </row>
    <row r="563" spans="1:6" s="13" customFormat="1" hidden="1" x14ac:dyDescent="0.3">
      <c r="A563" s="1667"/>
      <c r="B563" s="306"/>
      <c r="C563" s="466">
        <f t="shared" si="59"/>
        <v>0</v>
      </c>
      <c r="D563" s="466"/>
      <c r="E563" s="599"/>
      <c r="F563" s="893">
        <f t="shared" si="55"/>
        <v>0</v>
      </c>
    </row>
    <row r="564" spans="1:6" s="13" customFormat="1" hidden="1" x14ac:dyDescent="0.3">
      <c r="A564" s="1667"/>
      <c r="B564" s="306"/>
      <c r="C564" s="466">
        <f t="shared" si="59"/>
        <v>0</v>
      </c>
      <c r="D564" s="466"/>
      <c r="E564" s="599"/>
      <c r="F564" s="893">
        <f t="shared" si="55"/>
        <v>0</v>
      </c>
    </row>
    <row r="565" spans="1:6" s="13" customFormat="1" hidden="1" x14ac:dyDescent="0.3">
      <c r="A565" s="1667"/>
      <c r="B565" s="306"/>
      <c r="C565" s="466">
        <f t="shared" si="59"/>
        <v>0</v>
      </c>
      <c r="D565" s="466"/>
      <c r="E565" s="599"/>
      <c r="F565" s="893">
        <f t="shared" si="55"/>
        <v>0</v>
      </c>
    </row>
    <row r="566" spans="1:6" s="13" customFormat="1" hidden="1" x14ac:dyDescent="0.3">
      <c r="A566" s="1667"/>
      <c r="B566" s="306"/>
      <c r="C566" s="466">
        <f t="shared" si="59"/>
        <v>0</v>
      </c>
      <c r="D566" s="466"/>
      <c r="E566" s="599"/>
      <c r="F566" s="893">
        <f t="shared" si="55"/>
        <v>0</v>
      </c>
    </row>
    <row r="567" spans="1:6" s="13" customFormat="1" hidden="1" x14ac:dyDescent="0.3">
      <c r="A567" s="1667"/>
      <c r="B567" s="306"/>
      <c r="C567" s="466">
        <f t="shared" si="59"/>
        <v>0</v>
      </c>
      <c r="D567" s="466"/>
      <c r="E567" s="599"/>
      <c r="F567" s="893">
        <f t="shared" si="55"/>
        <v>0</v>
      </c>
    </row>
    <row r="568" spans="1:6" x14ac:dyDescent="0.3">
      <c r="A568" s="1675"/>
      <c r="B568" s="815" t="s">
        <v>740</v>
      </c>
      <c r="C568" s="1438">
        <f>SUM(C558:C567)</f>
        <v>11000</v>
      </c>
      <c r="D568" s="1438">
        <f>SUM(D558:D567)</f>
        <v>0</v>
      </c>
      <c r="E568" s="1438">
        <f>SUM(E558:E567)</f>
        <v>11000</v>
      </c>
      <c r="F568" s="893">
        <f t="shared" si="55"/>
        <v>22000</v>
      </c>
    </row>
    <row r="569" spans="1:6" s="13" customFormat="1" hidden="1" x14ac:dyDescent="0.3">
      <c r="A569" s="1669" t="s">
        <v>1121</v>
      </c>
      <c r="B569" s="306"/>
      <c r="C569" s="466">
        <f>SUM(D569:E569)</f>
        <v>0</v>
      </c>
      <c r="D569" s="466"/>
      <c r="E569" s="599"/>
      <c r="F569" s="893">
        <f t="shared" si="55"/>
        <v>0</v>
      </c>
    </row>
    <row r="570" spans="1:6" s="13" customFormat="1" hidden="1" x14ac:dyDescent="0.3">
      <c r="A570" s="1667"/>
      <c r="B570" s="306"/>
      <c r="C570" s="466">
        <f t="shared" ref="C570:C578" si="60">SUM(D570:E570)</f>
        <v>0</v>
      </c>
      <c r="D570" s="466"/>
      <c r="E570" s="599"/>
      <c r="F570" s="893">
        <f t="shared" si="55"/>
        <v>0</v>
      </c>
    </row>
    <row r="571" spans="1:6" s="13" customFormat="1" hidden="1" x14ac:dyDescent="0.3">
      <c r="A571" s="1667"/>
      <c r="B571" s="306"/>
      <c r="C571" s="466">
        <f t="shared" si="60"/>
        <v>0</v>
      </c>
      <c r="D571" s="466"/>
      <c r="E571" s="599"/>
      <c r="F571" s="893">
        <f t="shared" si="55"/>
        <v>0</v>
      </c>
    </row>
    <row r="572" spans="1:6" s="13" customFormat="1" hidden="1" x14ac:dyDescent="0.3">
      <c r="A572" s="1667"/>
      <c r="B572" s="306"/>
      <c r="C572" s="466">
        <f t="shared" si="60"/>
        <v>0</v>
      </c>
      <c r="D572" s="466"/>
      <c r="E572" s="599"/>
      <c r="F572" s="893">
        <f t="shared" si="55"/>
        <v>0</v>
      </c>
    </row>
    <row r="573" spans="1:6" s="13" customFormat="1" hidden="1" x14ac:dyDescent="0.3">
      <c r="A573" s="1667"/>
      <c r="B573" s="306"/>
      <c r="C573" s="466">
        <f t="shared" si="60"/>
        <v>0</v>
      </c>
      <c r="D573" s="466"/>
      <c r="E573" s="599"/>
      <c r="F573" s="893">
        <f t="shared" si="55"/>
        <v>0</v>
      </c>
    </row>
    <row r="574" spans="1:6" s="13" customFormat="1" hidden="1" x14ac:dyDescent="0.3">
      <c r="A574" s="1667"/>
      <c r="B574" s="306"/>
      <c r="C574" s="466">
        <f t="shared" si="60"/>
        <v>0</v>
      </c>
      <c r="D574" s="466"/>
      <c r="E574" s="599"/>
      <c r="F574" s="893">
        <f t="shared" si="55"/>
        <v>0</v>
      </c>
    </row>
    <row r="575" spans="1:6" s="13" customFormat="1" hidden="1" x14ac:dyDescent="0.3">
      <c r="A575" s="1667"/>
      <c r="B575" s="306"/>
      <c r="C575" s="466">
        <f t="shared" si="60"/>
        <v>0</v>
      </c>
      <c r="D575" s="466"/>
      <c r="E575" s="599"/>
      <c r="F575" s="893">
        <f t="shared" si="55"/>
        <v>0</v>
      </c>
    </row>
    <row r="576" spans="1:6" s="13" customFormat="1" hidden="1" x14ac:dyDescent="0.3">
      <c r="A576" s="1667"/>
      <c r="B576" s="306"/>
      <c r="C576" s="466">
        <f t="shared" si="60"/>
        <v>0</v>
      </c>
      <c r="D576" s="466"/>
      <c r="E576" s="599"/>
      <c r="F576" s="893">
        <f t="shared" si="55"/>
        <v>0</v>
      </c>
    </row>
    <row r="577" spans="1:6" s="13" customFormat="1" hidden="1" x14ac:dyDescent="0.3">
      <c r="A577" s="1667"/>
      <c r="B577" s="306"/>
      <c r="C577" s="466">
        <f t="shared" si="60"/>
        <v>0</v>
      </c>
      <c r="D577" s="466"/>
      <c r="E577" s="599"/>
      <c r="F577" s="893">
        <f t="shared" si="55"/>
        <v>0</v>
      </c>
    </row>
    <row r="578" spans="1:6" s="13" customFormat="1" hidden="1" x14ac:dyDescent="0.3">
      <c r="A578" s="1667"/>
      <c r="B578" s="306"/>
      <c r="C578" s="466">
        <f t="shared" si="60"/>
        <v>0</v>
      </c>
      <c r="D578" s="466"/>
      <c r="E578" s="599"/>
      <c r="F578" s="893">
        <f t="shared" si="55"/>
        <v>0</v>
      </c>
    </row>
    <row r="579" spans="1:6" s="13" customFormat="1" hidden="1" x14ac:dyDescent="0.3">
      <c r="A579" s="1673"/>
      <c r="B579" s="306" t="s">
        <v>740</v>
      </c>
      <c r="C579" s="466">
        <f>SUM(C569:C578)</f>
        <v>0</v>
      </c>
      <c r="D579" s="466">
        <f>SUM(D569:D578)</f>
        <v>0</v>
      </c>
      <c r="E579" s="466">
        <f>SUM(E569:E578)</f>
        <v>0</v>
      </c>
      <c r="F579" s="893">
        <f t="shared" si="55"/>
        <v>0</v>
      </c>
    </row>
    <row r="580" spans="1:6" s="13" customFormat="1" hidden="1" x14ac:dyDescent="0.3">
      <c r="A580" s="1669" t="s">
        <v>1123</v>
      </c>
      <c r="B580" s="306"/>
      <c r="C580" s="466">
        <f>SUM(D580:E580)</f>
        <v>0</v>
      </c>
      <c r="D580" s="466"/>
      <c r="E580" s="599"/>
      <c r="F580" s="893">
        <f t="shared" si="55"/>
        <v>0</v>
      </c>
    </row>
    <row r="581" spans="1:6" s="13" customFormat="1" hidden="1" x14ac:dyDescent="0.3">
      <c r="A581" s="1667"/>
      <c r="B581" s="306"/>
      <c r="C581" s="466">
        <f t="shared" ref="C581:C589" si="61">SUM(D581:E581)</f>
        <v>0</v>
      </c>
      <c r="D581" s="466"/>
      <c r="E581" s="599"/>
      <c r="F581" s="893">
        <f t="shared" si="55"/>
        <v>0</v>
      </c>
    </row>
    <row r="582" spans="1:6" s="13" customFormat="1" hidden="1" x14ac:dyDescent="0.3">
      <c r="A582" s="1667"/>
      <c r="B582" s="306"/>
      <c r="C582" s="466">
        <f t="shared" si="61"/>
        <v>0</v>
      </c>
      <c r="D582" s="466"/>
      <c r="E582" s="599"/>
      <c r="F582" s="893">
        <f t="shared" si="55"/>
        <v>0</v>
      </c>
    </row>
    <row r="583" spans="1:6" s="13" customFormat="1" hidden="1" x14ac:dyDescent="0.3">
      <c r="A583" s="1667"/>
      <c r="B583" s="306"/>
      <c r="C583" s="466">
        <f t="shared" si="61"/>
        <v>0</v>
      </c>
      <c r="D583" s="466"/>
      <c r="E583" s="599"/>
      <c r="F583" s="893">
        <f t="shared" si="55"/>
        <v>0</v>
      </c>
    </row>
    <row r="584" spans="1:6" s="13" customFormat="1" hidden="1" x14ac:dyDescent="0.3">
      <c r="A584" s="1667"/>
      <c r="B584" s="306"/>
      <c r="C584" s="466">
        <f t="shared" si="61"/>
        <v>0</v>
      </c>
      <c r="D584" s="466"/>
      <c r="E584" s="599"/>
      <c r="F584" s="893">
        <f t="shared" si="55"/>
        <v>0</v>
      </c>
    </row>
    <row r="585" spans="1:6" s="13" customFormat="1" hidden="1" x14ac:dyDescent="0.3">
      <c r="A585" s="1667"/>
      <c r="B585" s="306"/>
      <c r="C585" s="466">
        <f t="shared" si="61"/>
        <v>0</v>
      </c>
      <c r="D585" s="466"/>
      <c r="E585" s="599"/>
      <c r="F585" s="893">
        <f t="shared" si="55"/>
        <v>0</v>
      </c>
    </row>
    <row r="586" spans="1:6" s="13" customFormat="1" hidden="1" x14ac:dyDescent="0.3">
      <c r="A586" s="1667"/>
      <c r="B586" s="306"/>
      <c r="C586" s="466">
        <f t="shared" si="61"/>
        <v>0</v>
      </c>
      <c r="D586" s="466"/>
      <c r="E586" s="599"/>
      <c r="F586" s="893">
        <f t="shared" si="55"/>
        <v>0</v>
      </c>
    </row>
    <row r="587" spans="1:6" s="13" customFormat="1" hidden="1" x14ac:dyDescent="0.3">
      <c r="A587" s="1667"/>
      <c r="B587" s="306"/>
      <c r="C587" s="466">
        <f t="shared" si="61"/>
        <v>0</v>
      </c>
      <c r="D587" s="466"/>
      <c r="E587" s="599"/>
      <c r="F587" s="893">
        <f t="shared" ref="F587:F650" si="62">SUM(C587:E587)</f>
        <v>0</v>
      </c>
    </row>
    <row r="588" spans="1:6" s="13" customFormat="1" hidden="1" x14ac:dyDescent="0.3">
      <c r="A588" s="1667"/>
      <c r="B588" s="306"/>
      <c r="C588" s="466">
        <f t="shared" si="61"/>
        <v>0</v>
      </c>
      <c r="D588" s="466"/>
      <c r="E588" s="599"/>
      <c r="F588" s="893">
        <f t="shared" si="62"/>
        <v>0</v>
      </c>
    </row>
    <row r="589" spans="1:6" s="13" customFormat="1" hidden="1" x14ac:dyDescent="0.3">
      <c r="A589" s="1667"/>
      <c r="B589" s="306"/>
      <c r="C589" s="466">
        <f t="shared" si="61"/>
        <v>0</v>
      </c>
      <c r="D589" s="466"/>
      <c r="E589" s="599"/>
      <c r="F589" s="893">
        <f t="shared" si="62"/>
        <v>0</v>
      </c>
    </row>
    <row r="590" spans="1:6" s="13" customFormat="1" hidden="1" x14ac:dyDescent="0.3">
      <c r="A590" s="1673"/>
      <c r="B590" s="306" t="s">
        <v>740</v>
      </c>
      <c r="C590" s="466">
        <f>SUM(C580:C589)</f>
        <v>0</v>
      </c>
      <c r="D590" s="466">
        <f>SUM(D580:D589)</f>
        <v>0</v>
      </c>
      <c r="E590" s="466">
        <f>SUM(E580:E589)</f>
        <v>0</v>
      </c>
      <c r="F590" s="893">
        <f t="shared" si="62"/>
        <v>0</v>
      </c>
    </row>
    <row r="591" spans="1:6" s="13" customFormat="1" hidden="1" x14ac:dyDescent="0.3">
      <c r="A591" s="1669" t="s">
        <v>1125</v>
      </c>
      <c r="B591" s="306"/>
      <c r="C591" s="466">
        <f>SUM(D591:E591)</f>
        <v>0</v>
      </c>
      <c r="D591" s="466"/>
      <c r="E591" s="599"/>
      <c r="F591" s="893">
        <f t="shared" si="62"/>
        <v>0</v>
      </c>
    </row>
    <row r="592" spans="1:6" s="13" customFormat="1" hidden="1" x14ac:dyDescent="0.3">
      <c r="A592" s="1667"/>
      <c r="B592" s="306"/>
      <c r="C592" s="466">
        <f t="shared" ref="C592:C600" si="63">SUM(D592:E592)</f>
        <v>0</v>
      </c>
      <c r="D592" s="466"/>
      <c r="E592" s="599"/>
      <c r="F592" s="893">
        <f t="shared" si="62"/>
        <v>0</v>
      </c>
    </row>
    <row r="593" spans="1:6" s="13" customFormat="1" hidden="1" x14ac:dyDescent="0.3">
      <c r="A593" s="1667"/>
      <c r="B593" s="306"/>
      <c r="C593" s="466">
        <f t="shared" si="63"/>
        <v>0</v>
      </c>
      <c r="D593" s="466"/>
      <c r="E593" s="599"/>
      <c r="F593" s="893">
        <f t="shared" si="62"/>
        <v>0</v>
      </c>
    </row>
    <row r="594" spans="1:6" s="13" customFormat="1" hidden="1" x14ac:dyDescent="0.3">
      <c r="A594" s="1667"/>
      <c r="B594" s="306"/>
      <c r="C594" s="466">
        <f t="shared" si="63"/>
        <v>0</v>
      </c>
      <c r="D594" s="466"/>
      <c r="E594" s="599"/>
      <c r="F594" s="893">
        <f t="shared" si="62"/>
        <v>0</v>
      </c>
    </row>
    <row r="595" spans="1:6" s="13" customFormat="1" hidden="1" x14ac:dyDescent="0.3">
      <c r="A595" s="1667"/>
      <c r="B595" s="306"/>
      <c r="C595" s="466">
        <f t="shared" si="63"/>
        <v>0</v>
      </c>
      <c r="D595" s="466"/>
      <c r="E595" s="599"/>
      <c r="F595" s="893">
        <f t="shared" si="62"/>
        <v>0</v>
      </c>
    </row>
    <row r="596" spans="1:6" s="13" customFormat="1" hidden="1" x14ac:dyDescent="0.3">
      <c r="A596" s="1667"/>
      <c r="B596" s="306"/>
      <c r="C596" s="466">
        <f t="shared" si="63"/>
        <v>0</v>
      </c>
      <c r="D596" s="466"/>
      <c r="E596" s="599"/>
      <c r="F596" s="893">
        <f t="shared" si="62"/>
        <v>0</v>
      </c>
    </row>
    <row r="597" spans="1:6" s="13" customFormat="1" hidden="1" x14ac:dyDescent="0.3">
      <c r="A597" s="1667"/>
      <c r="B597" s="306"/>
      <c r="C597" s="466">
        <f t="shared" si="63"/>
        <v>0</v>
      </c>
      <c r="D597" s="466"/>
      <c r="E597" s="599"/>
      <c r="F597" s="893">
        <f t="shared" si="62"/>
        <v>0</v>
      </c>
    </row>
    <row r="598" spans="1:6" s="13" customFormat="1" hidden="1" x14ac:dyDescent="0.3">
      <c r="A598" s="1667"/>
      <c r="B598" s="306"/>
      <c r="C598" s="466">
        <f t="shared" si="63"/>
        <v>0</v>
      </c>
      <c r="D598" s="466"/>
      <c r="E598" s="599"/>
      <c r="F598" s="893">
        <f t="shared" si="62"/>
        <v>0</v>
      </c>
    </row>
    <row r="599" spans="1:6" s="13" customFormat="1" hidden="1" x14ac:dyDescent="0.3">
      <c r="A599" s="1667"/>
      <c r="B599" s="306"/>
      <c r="C599" s="466">
        <f t="shared" si="63"/>
        <v>0</v>
      </c>
      <c r="D599" s="466"/>
      <c r="E599" s="599"/>
      <c r="F599" s="893">
        <f t="shared" si="62"/>
        <v>0</v>
      </c>
    </row>
    <row r="600" spans="1:6" s="13" customFormat="1" hidden="1" x14ac:dyDescent="0.3">
      <c r="A600" s="1667"/>
      <c r="B600" s="306"/>
      <c r="C600" s="466">
        <f t="shared" si="63"/>
        <v>0</v>
      </c>
      <c r="D600" s="466"/>
      <c r="E600" s="599"/>
      <c r="F600" s="893">
        <f t="shared" si="62"/>
        <v>0</v>
      </c>
    </row>
    <row r="601" spans="1:6" s="13" customFormat="1" hidden="1" x14ac:dyDescent="0.3">
      <c r="A601" s="1673"/>
      <c r="B601" s="306" t="s">
        <v>740</v>
      </c>
      <c r="C601" s="466">
        <f>SUM(C591:C600)</f>
        <v>0</v>
      </c>
      <c r="D601" s="466">
        <f>SUM(D591:D600)</f>
        <v>0</v>
      </c>
      <c r="E601" s="466">
        <f>SUM(E591:E600)</f>
        <v>0</v>
      </c>
      <c r="F601" s="893">
        <f t="shared" si="62"/>
        <v>0</v>
      </c>
    </row>
    <row r="602" spans="1:6" s="13" customFormat="1" hidden="1" x14ac:dyDescent="0.3">
      <c r="A602" s="1669" t="s">
        <v>1127</v>
      </c>
      <c r="B602" s="306"/>
      <c r="C602" s="466">
        <f>SUM(D602:E602)</f>
        <v>0</v>
      </c>
      <c r="D602" s="466"/>
      <c r="E602" s="599"/>
      <c r="F602" s="893">
        <f t="shared" si="62"/>
        <v>0</v>
      </c>
    </row>
    <row r="603" spans="1:6" s="13" customFormat="1" hidden="1" x14ac:dyDescent="0.3">
      <c r="A603" s="1667"/>
      <c r="B603" s="306"/>
      <c r="C603" s="466">
        <f t="shared" ref="C603:C611" si="64">SUM(D603:E603)</f>
        <v>0</v>
      </c>
      <c r="D603" s="466"/>
      <c r="E603" s="599"/>
      <c r="F603" s="893">
        <f t="shared" si="62"/>
        <v>0</v>
      </c>
    </row>
    <row r="604" spans="1:6" s="13" customFormat="1" hidden="1" x14ac:dyDescent="0.3">
      <c r="A604" s="1667"/>
      <c r="B604" s="306"/>
      <c r="C604" s="466">
        <f t="shared" si="64"/>
        <v>0</v>
      </c>
      <c r="D604" s="466"/>
      <c r="E604" s="599"/>
      <c r="F604" s="893">
        <f t="shared" si="62"/>
        <v>0</v>
      </c>
    </row>
    <row r="605" spans="1:6" s="13" customFormat="1" hidden="1" x14ac:dyDescent="0.3">
      <c r="A605" s="1667"/>
      <c r="B605" s="306"/>
      <c r="C605" s="466">
        <f t="shared" si="64"/>
        <v>0</v>
      </c>
      <c r="D605" s="466"/>
      <c r="E605" s="599"/>
      <c r="F605" s="893">
        <f t="shared" si="62"/>
        <v>0</v>
      </c>
    </row>
    <row r="606" spans="1:6" s="13" customFormat="1" hidden="1" x14ac:dyDescent="0.3">
      <c r="A606" s="1667"/>
      <c r="B606" s="306"/>
      <c r="C606" s="466">
        <f t="shared" si="64"/>
        <v>0</v>
      </c>
      <c r="D606" s="466"/>
      <c r="E606" s="599"/>
      <c r="F606" s="893">
        <f t="shared" si="62"/>
        <v>0</v>
      </c>
    </row>
    <row r="607" spans="1:6" s="13" customFormat="1" hidden="1" x14ac:dyDescent="0.3">
      <c r="A607" s="1667"/>
      <c r="B607" s="306"/>
      <c r="C607" s="466">
        <f t="shared" si="64"/>
        <v>0</v>
      </c>
      <c r="D607" s="466"/>
      <c r="E607" s="599"/>
      <c r="F607" s="893">
        <f t="shared" si="62"/>
        <v>0</v>
      </c>
    </row>
    <row r="608" spans="1:6" s="13" customFormat="1" hidden="1" x14ac:dyDescent="0.3">
      <c r="A608" s="1667"/>
      <c r="B608" s="306"/>
      <c r="C608" s="466">
        <f t="shared" si="64"/>
        <v>0</v>
      </c>
      <c r="D608" s="466"/>
      <c r="E608" s="599"/>
      <c r="F608" s="893">
        <f t="shared" si="62"/>
        <v>0</v>
      </c>
    </row>
    <row r="609" spans="1:6" s="13" customFormat="1" hidden="1" x14ac:dyDescent="0.3">
      <c r="A609" s="1667"/>
      <c r="B609" s="306"/>
      <c r="C609" s="466">
        <f t="shared" si="64"/>
        <v>0</v>
      </c>
      <c r="D609" s="466"/>
      <c r="E609" s="599"/>
      <c r="F609" s="893">
        <f t="shared" si="62"/>
        <v>0</v>
      </c>
    </row>
    <row r="610" spans="1:6" s="13" customFormat="1" hidden="1" x14ac:dyDescent="0.3">
      <c r="A610" s="1667"/>
      <c r="B610" s="306"/>
      <c r="C610" s="466">
        <f t="shared" si="64"/>
        <v>0</v>
      </c>
      <c r="D610" s="466"/>
      <c r="E610" s="599"/>
      <c r="F610" s="893">
        <f t="shared" si="62"/>
        <v>0</v>
      </c>
    </row>
    <row r="611" spans="1:6" s="13" customFormat="1" hidden="1" x14ac:dyDescent="0.3">
      <c r="A611" s="1667"/>
      <c r="B611" s="306"/>
      <c r="C611" s="466">
        <f t="shared" si="64"/>
        <v>0</v>
      </c>
      <c r="D611" s="466"/>
      <c r="E611" s="599"/>
      <c r="F611" s="893">
        <f t="shared" si="62"/>
        <v>0</v>
      </c>
    </row>
    <row r="612" spans="1:6" s="13" customFormat="1" hidden="1" x14ac:dyDescent="0.3">
      <c r="A612" s="1673"/>
      <c r="B612" s="306" t="s">
        <v>740</v>
      </c>
      <c r="C612" s="466">
        <f>SUM(C602:C611)</f>
        <v>0</v>
      </c>
      <c r="D612" s="466">
        <f>SUM(D602:D611)</f>
        <v>0</v>
      </c>
      <c r="E612" s="466">
        <f>SUM(E602:E611)</f>
        <v>0</v>
      </c>
      <c r="F612" s="893">
        <f t="shared" si="62"/>
        <v>0</v>
      </c>
    </row>
    <row r="613" spans="1:6" s="13" customFormat="1" hidden="1" x14ac:dyDescent="0.3">
      <c r="A613" s="1669" t="s">
        <v>1129</v>
      </c>
      <c r="B613" s="306"/>
      <c r="C613" s="466">
        <f>SUM(D613:E613)</f>
        <v>0</v>
      </c>
      <c r="D613" s="466"/>
      <c r="E613" s="599"/>
      <c r="F613" s="893">
        <f t="shared" si="62"/>
        <v>0</v>
      </c>
    </row>
    <row r="614" spans="1:6" s="13" customFormat="1" hidden="1" x14ac:dyDescent="0.3">
      <c r="A614" s="1667"/>
      <c r="B614" s="306"/>
      <c r="C614" s="466">
        <f t="shared" ref="C614:C622" si="65">SUM(D614:E614)</f>
        <v>0</v>
      </c>
      <c r="D614" s="466"/>
      <c r="E614" s="599"/>
      <c r="F614" s="893">
        <f t="shared" si="62"/>
        <v>0</v>
      </c>
    </row>
    <row r="615" spans="1:6" s="13" customFormat="1" hidden="1" x14ac:dyDescent="0.3">
      <c r="A615" s="1667"/>
      <c r="B615" s="306"/>
      <c r="C615" s="466">
        <f t="shared" si="65"/>
        <v>0</v>
      </c>
      <c r="D615" s="466"/>
      <c r="E615" s="599"/>
      <c r="F615" s="893">
        <f t="shared" si="62"/>
        <v>0</v>
      </c>
    </row>
    <row r="616" spans="1:6" s="13" customFormat="1" hidden="1" x14ac:dyDescent="0.3">
      <c r="A616" s="1667"/>
      <c r="B616" s="306"/>
      <c r="C616" s="466">
        <f t="shared" si="65"/>
        <v>0</v>
      </c>
      <c r="D616" s="466"/>
      <c r="E616" s="599"/>
      <c r="F616" s="893">
        <f t="shared" si="62"/>
        <v>0</v>
      </c>
    </row>
    <row r="617" spans="1:6" s="13" customFormat="1" hidden="1" x14ac:dyDescent="0.3">
      <c r="A617" s="1667"/>
      <c r="B617" s="306"/>
      <c r="C617" s="466">
        <f t="shared" si="65"/>
        <v>0</v>
      </c>
      <c r="D617" s="466"/>
      <c r="E617" s="599"/>
      <c r="F617" s="893">
        <f t="shared" si="62"/>
        <v>0</v>
      </c>
    </row>
    <row r="618" spans="1:6" s="13" customFormat="1" hidden="1" x14ac:dyDescent="0.3">
      <c r="A618" s="1667"/>
      <c r="B618" s="306"/>
      <c r="C618" s="466">
        <f t="shared" si="65"/>
        <v>0</v>
      </c>
      <c r="D618" s="466"/>
      <c r="E618" s="599"/>
      <c r="F618" s="893">
        <f t="shared" si="62"/>
        <v>0</v>
      </c>
    </row>
    <row r="619" spans="1:6" s="13" customFormat="1" hidden="1" x14ac:dyDescent="0.3">
      <c r="A619" s="1667"/>
      <c r="B619" s="306"/>
      <c r="C619" s="466">
        <f t="shared" si="65"/>
        <v>0</v>
      </c>
      <c r="D619" s="466"/>
      <c r="E619" s="599"/>
      <c r="F619" s="893">
        <f t="shared" si="62"/>
        <v>0</v>
      </c>
    </row>
    <row r="620" spans="1:6" s="13" customFormat="1" hidden="1" x14ac:dyDescent="0.3">
      <c r="A620" s="1667"/>
      <c r="B620" s="306"/>
      <c r="C620" s="466">
        <f t="shared" si="65"/>
        <v>0</v>
      </c>
      <c r="D620" s="466"/>
      <c r="E620" s="599"/>
      <c r="F620" s="893">
        <f t="shared" si="62"/>
        <v>0</v>
      </c>
    </row>
    <row r="621" spans="1:6" s="13" customFormat="1" hidden="1" x14ac:dyDescent="0.3">
      <c r="A621" s="1667"/>
      <c r="B621" s="306"/>
      <c r="C621" s="466">
        <f t="shared" si="65"/>
        <v>0</v>
      </c>
      <c r="D621" s="466"/>
      <c r="E621" s="599"/>
      <c r="F621" s="893">
        <f t="shared" si="62"/>
        <v>0</v>
      </c>
    </row>
    <row r="622" spans="1:6" s="13" customFormat="1" hidden="1" x14ac:dyDescent="0.3">
      <c r="A622" s="1667"/>
      <c r="B622" s="306"/>
      <c r="C622" s="466">
        <f t="shared" si="65"/>
        <v>0</v>
      </c>
      <c r="D622" s="466"/>
      <c r="E622" s="599"/>
      <c r="F622" s="893">
        <f t="shared" si="62"/>
        <v>0</v>
      </c>
    </row>
    <row r="623" spans="1:6" s="13" customFormat="1" hidden="1" x14ac:dyDescent="0.3">
      <c r="A623" s="1673"/>
      <c r="B623" s="306" t="s">
        <v>740</v>
      </c>
      <c r="C623" s="466">
        <f>SUM(C613:C622)</f>
        <v>0</v>
      </c>
      <c r="D623" s="466">
        <f>SUM(D613:D622)</f>
        <v>0</v>
      </c>
      <c r="E623" s="466">
        <f>SUM(E613:E622)</f>
        <v>0</v>
      </c>
      <c r="F623" s="893">
        <f t="shared" si="62"/>
        <v>0</v>
      </c>
    </row>
    <row r="624" spans="1:6" s="13" customFormat="1" hidden="1" x14ac:dyDescent="0.3">
      <c r="A624" s="1669" t="s">
        <v>1131</v>
      </c>
      <c r="B624" s="306"/>
      <c r="C624" s="466">
        <f>SUM(D624:E624)</f>
        <v>0</v>
      </c>
      <c r="D624" s="466"/>
      <c r="E624" s="599"/>
      <c r="F624" s="893">
        <f t="shared" si="62"/>
        <v>0</v>
      </c>
    </row>
    <row r="625" spans="1:6" s="13" customFormat="1" hidden="1" x14ac:dyDescent="0.3">
      <c r="A625" s="1667"/>
      <c r="B625" s="306"/>
      <c r="C625" s="466">
        <f t="shared" ref="C625:C633" si="66">SUM(D625:E625)</f>
        <v>0</v>
      </c>
      <c r="D625" s="466"/>
      <c r="E625" s="599"/>
      <c r="F625" s="893">
        <f t="shared" si="62"/>
        <v>0</v>
      </c>
    </row>
    <row r="626" spans="1:6" s="13" customFormat="1" hidden="1" x14ac:dyDescent="0.3">
      <c r="A626" s="1667"/>
      <c r="B626" s="306"/>
      <c r="C626" s="466">
        <f t="shared" si="66"/>
        <v>0</v>
      </c>
      <c r="D626" s="466"/>
      <c r="E626" s="599"/>
      <c r="F626" s="893">
        <f t="shared" si="62"/>
        <v>0</v>
      </c>
    </row>
    <row r="627" spans="1:6" s="13" customFormat="1" hidden="1" x14ac:dyDescent="0.3">
      <c r="A627" s="1667"/>
      <c r="B627" s="306"/>
      <c r="C627" s="466">
        <f t="shared" si="66"/>
        <v>0</v>
      </c>
      <c r="D627" s="466"/>
      <c r="E627" s="599"/>
      <c r="F627" s="893">
        <f t="shared" si="62"/>
        <v>0</v>
      </c>
    </row>
    <row r="628" spans="1:6" s="13" customFormat="1" hidden="1" x14ac:dyDescent="0.3">
      <c r="A628" s="1667"/>
      <c r="B628" s="306"/>
      <c r="C628" s="466">
        <f t="shared" si="66"/>
        <v>0</v>
      </c>
      <c r="D628" s="466"/>
      <c r="E628" s="599"/>
      <c r="F628" s="893">
        <f t="shared" si="62"/>
        <v>0</v>
      </c>
    </row>
    <row r="629" spans="1:6" s="13" customFormat="1" hidden="1" x14ac:dyDescent="0.3">
      <c r="A629" s="1667"/>
      <c r="B629" s="306"/>
      <c r="C629" s="466">
        <f t="shared" si="66"/>
        <v>0</v>
      </c>
      <c r="D629" s="466"/>
      <c r="E629" s="599"/>
      <c r="F629" s="893">
        <f t="shared" si="62"/>
        <v>0</v>
      </c>
    </row>
    <row r="630" spans="1:6" s="13" customFormat="1" hidden="1" x14ac:dyDescent="0.3">
      <c r="A630" s="1667"/>
      <c r="B630" s="306"/>
      <c r="C630" s="466">
        <f t="shared" si="66"/>
        <v>0</v>
      </c>
      <c r="D630" s="466"/>
      <c r="E630" s="599"/>
      <c r="F630" s="893">
        <f t="shared" si="62"/>
        <v>0</v>
      </c>
    </row>
    <row r="631" spans="1:6" s="13" customFormat="1" hidden="1" x14ac:dyDescent="0.3">
      <c r="A631" s="1667"/>
      <c r="B631" s="306"/>
      <c r="C631" s="466">
        <f t="shared" si="66"/>
        <v>0</v>
      </c>
      <c r="D631" s="466"/>
      <c r="E631" s="599"/>
      <c r="F631" s="893">
        <f t="shared" si="62"/>
        <v>0</v>
      </c>
    </row>
    <row r="632" spans="1:6" s="13" customFormat="1" hidden="1" x14ac:dyDescent="0.3">
      <c r="A632" s="1667"/>
      <c r="B632" s="306"/>
      <c r="C632" s="466">
        <f t="shared" si="66"/>
        <v>0</v>
      </c>
      <c r="D632" s="466"/>
      <c r="E632" s="599"/>
      <c r="F632" s="893">
        <f t="shared" si="62"/>
        <v>0</v>
      </c>
    </row>
    <row r="633" spans="1:6" s="13" customFormat="1" hidden="1" x14ac:dyDescent="0.3">
      <c r="A633" s="1667"/>
      <c r="B633" s="306"/>
      <c r="C633" s="466">
        <f t="shared" si="66"/>
        <v>0</v>
      </c>
      <c r="D633" s="466"/>
      <c r="E633" s="599"/>
      <c r="F633" s="893">
        <f t="shared" si="62"/>
        <v>0</v>
      </c>
    </row>
    <row r="634" spans="1:6" s="13" customFormat="1" hidden="1" x14ac:dyDescent="0.3">
      <c r="A634" s="1673"/>
      <c r="B634" s="306" t="s">
        <v>740</v>
      </c>
      <c r="C634" s="466">
        <f>SUM(C624:C633)</f>
        <v>0</v>
      </c>
      <c r="D634" s="466">
        <f>SUM(D624:D633)</f>
        <v>0</v>
      </c>
      <c r="E634" s="466">
        <f>SUM(E624:E633)</f>
        <v>0</v>
      </c>
      <c r="F634" s="893">
        <f t="shared" si="62"/>
        <v>0</v>
      </c>
    </row>
    <row r="635" spans="1:6" s="13" customFormat="1" hidden="1" x14ac:dyDescent="0.3">
      <c r="A635" s="1669" t="s">
        <v>1133</v>
      </c>
      <c r="B635" s="306"/>
      <c r="C635" s="466">
        <f>SUM(D635:E635)</f>
        <v>0</v>
      </c>
      <c r="D635" s="466"/>
      <c r="E635" s="599"/>
      <c r="F635" s="893">
        <f t="shared" si="62"/>
        <v>0</v>
      </c>
    </row>
    <row r="636" spans="1:6" s="13" customFormat="1" hidden="1" x14ac:dyDescent="0.3">
      <c r="A636" s="1667"/>
      <c r="B636" s="306"/>
      <c r="C636" s="466">
        <f t="shared" ref="C636:C644" si="67">SUM(D636:E636)</f>
        <v>0</v>
      </c>
      <c r="D636" s="466"/>
      <c r="E636" s="599"/>
      <c r="F636" s="893">
        <f t="shared" si="62"/>
        <v>0</v>
      </c>
    </row>
    <row r="637" spans="1:6" s="13" customFormat="1" hidden="1" x14ac:dyDescent="0.3">
      <c r="A637" s="1667"/>
      <c r="B637" s="306"/>
      <c r="C637" s="466">
        <f t="shared" si="67"/>
        <v>0</v>
      </c>
      <c r="D637" s="466"/>
      <c r="E637" s="599"/>
      <c r="F637" s="893">
        <f t="shared" si="62"/>
        <v>0</v>
      </c>
    </row>
    <row r="638" spans="1:6" s="13" customFormat="1" hidden="1" x14ac:dyDescent="0.3">
      <c r="A638" s="1667"/>
      <c r="B638" s="306"/>
      <c r="C638" s="466">
        <f t="shared" si="67"/>
        <v>0</v>
      </c>
      <c r="D638" s="466"/>
      <c r="E638" s="599"/>
      <c r="F638" s="893">
        <f t="shared" si="62"/>
        <v>0</v>
      </c>
    </row>
    <row r="639" spans="1:6" s="13" customFormat="1" hidden="1" x14ac:dyDescent="0.3">
      <c r="A639" s="1667"/>
      <c r="B639" s="306"/>
      <c r="C639" s="466">
        <f t="shared" si="67"/>
        <v>0</v>
      </c>
      <c r="D639" s="466"/>
      <c r="E639" s="599"/>
      <c r="F639" s="893">
        <f t="shared" si="62"/>
        <v>0</v>
      </c>
    </row>
    <row r="640" spans="1:6" s="13" customFormat="1" hidden="1" x14ac:dyDescent="0.3">
      <c r="A640" s="1667"/>
      <c r="B640" s="306"/>
      <c r="C640" s="466">
        <f t="shared" si="67"/>
        <v>0</v>
      </c>
      <c r="D640" s="466"/>
      <c r="E640" s="599"/>
      <c r="F640" s="893">
        <f t="shared" si="62"/>
        <v>0</v>
      </c>
    </row>
    <row r="641" spans="1:6" s="13" customFormat="1" hidden="1" x14ac:dyDescent="0.3">
      <c r="A641" s="1667"/>
      <c r="B641" s="306"/>
      <c r="C641" s="466">
        <f t="shared" si="67"/>
        <v>0</v>
      </c>
      <c r="D641" s="466"/>
      <c r="E641" s="599"/>
      <c r="F641" s="893">
        <f t="shared" si="62"/>
        <v>0</v>
      </c>
    </row>
    <row r="642" spans="1:6" s="13" customFormat="1" hidden="1" x14ac:dyDescent="0.3">
      <c r="A642" s="1667"/>
      <c r="B642" s="306"/>
      <c r="C642" s="466">
        <f t="shared" si="67"/>
        <v>0</v>
      </c>
      <c r="D642" s="466"/>
      <c r="E642" s="599"/>
      <c r="F642" s="893">
        <f t="shared" si="62"/>
        <v>0</v>
      </c>
    </row>
    <row r="643" spans="1:6" s="13" customFormat="1" hidden="1" x14ac:dyDescent="0.3">
      <c r="A643" s="1667"/>
      <c r="B643" s="306"/>
      <c r="C643" s="466">
        <f t="shared" si="67"/>
        <v>0</v>
      </c>
      <c r="D643" s="466"/>
      <c r="E643" s="599"/>
      <c r="F643" s="893">
        <f t="shared" si="62"/>
        <v>0</v>
      </c>
    </row>
    <row r="644" spans="1:6" s="13" customFormat="1" hidden="1" x14ac:dyDescent="0.3">
      <c r="A644" s="1667"/>
      <c r="B644" s="306"/>
      <c r="C644" s="466">
        <f t="shared" si="67"/>
        <v>0</v>
      </c>
      <c r="D644" s="466"/>
      <c r="E644" s="599"/>
      <c r="F644" s="893">
        <f t="shared" si="62"/>
        <v>0</v>
      </c>
    </row>
    <row r="645" spans="1:6" s="13" customFormat="1" hidden="1" x14ac:dyDescent="0.3">
      <c r="A645" s="1673"/>
      <c r="B645" s="306" t="s">
        <v>740</v>
      </c>
      <c r="C645" s="466">
        <f>SUM(C635:C644)</f>
        <v>0</v>
      </c>
      <c r="D645" s="466">
        <f>SUM(D635:D644)</f>
        <v>0</v>
      </c>
      <c r="E645" s="466">
        <f>SUM(E635:E644)</f>
        <v>0</v>
      </c>
      <c r="F645" s="893">
        <f t="shared" si="62"/>
        <v>0</v>
      </c>
    </row>
    <row r="646" spans="1:6" s="13" customFormat="1" hidden="1" x14ac:dyDescent="0.3">
      <c r="A646" s="1669" t="s">
        <v>1135</v>
      </c>
      <c r="B646" s="306"/>
      <c r="C646" s="466">
        <f>SUM(D646:E646)</f>
        <v>0</v>
      </c>
      <c r="D646" s="466"/>
      <c r="E646" s="599"/>
      <c r="F646" s="893">
        <f t="shared" si="62"/>
        <v>0</v>
      </c>
    </row>
    <row r="647" spans="1:6" s="13" customFormat="1" hidden="1" x14ac:dyDescent="0.3">
      <c r="A647" s="1667"/>
      <c r="B647" s="306"/>
      <c r="C647" s="466">
        <f t="shared" ref="C647:C655" si="68">SUM(D647:E647)</f>
        <v>0</v>
      </c>
      <c r="D647" s="466"/>
      <c r="E647" s="599"/>
      <c r="F647" s="893">
        <f t="shared" si="62"/>
        <v>0</v>
      </c>
    </row>
    <row r="648" spans="1:6" s="13" customFormat="1" hidden="1" x14ac:dyDescent="0.3">
      <c r="A648" s="1667"/>
      <c r="B648" s="306"/>
      <c r="C648" s="466">
        <f t="shared" si="68"/>
        <v>0</v>
      </c>
      <c r="D648" s="466"/>
      <c r="E648" s="599"/>
      <c r="F648" s="893">
        <f t="shared" si="62"/>
        <v>0</v>
      </c>
    </row>
    <row r="649" spans="1:6" s="13" customFormat="1" hidden="1" x14ac:dyDescent="0.3">
      <c r="A649" s="1667"/>
      <c r="B649" s="306"/>
      <c r="C649" s="466">
        <f t="shared" si="68"/>
        <v>0</v>
      </c>
      <c r="D649" s="466"/>
      <c r="E649" s="599"/>
      <c r="F649" s="893">
        <f t="shared" si="62"/>
        <v>0</v>
      </c>
    </row>
    <row r="650" spans="1:6" s="13" customFormat="1" hidden="1" x14ac:dyDescent="0.3">
      <c r="A650" s="1667"/>
      <c r="B650" s="306"/>
      <c r="C650" s="466">
        <f t="shared" si="68"/>
        <v>0</v>
      </c>
      <c r="D650" s="466"/>
      <c r="E650" s="599"/>
      <c r="F650" s="893">
        <f t="shared" si="62"/>
        <v>0</v>
      </c>
    </row>
    <row r="651" spans="1:6" s="13" customFormat="1" hidden="1" x14ac:dyDescent="0.3">
      <c r="A651" s="1667"/>
      <c r="B651" s="306"/>
      <c r="C651" s="466">
        <f t="shared" si="68"/>
        <v>0</v>
      </c>
      <c r="D651" s="466"/>
      <c r="E651" s="599"/>
      <c r="F651" s="893">
        <f t="shared" ref="F651:F714" si="69">SUM(C651:E651)</f>
        <v>0</v>
      </c>
    </row>
    <row r="652" spans="1:6" s="13" customFormat="1" hidden="1" x14ac:dyDescent="0.3">
      <c r="A652" s="1667"/>
      <c r="B652" s="306"/>
      <c r="C652" s="466">
        <f t="shared" si="68"/>
        <v>0</v>
      </c>
      <c r="D652" s="466"/>
      <c r="E652" s="599"/>
      <c r="F652" s="893">
        <f t="shared" si="69"/>
        <v>0</v>
      </c>
    </row>
    <row r="653" spans="1:6" s="13" customFormat="1" hidden="1" x14ac:dyDescent="0.3">
      <c r="A653" s="1667"/>
      <c r="B653" s="306"/>
      <c r="C653" s="466">
        <f t="shared" si="68"/>
        <v>0</v>
      </c>
      <c r="D653" s="466"/>
      <c r="E653" s="599"/>
      <c r="F653" s="893">
        <f t="shared" si="69"/>
        <v>0</v>
      </c>
    </row>
    <row r="654" spans="1:6" s="13" customFormat="1" hidden="1" x14ac:dyDescent="0.3">
      <c r="A654" s="1667"/>
      <c r="B654" s="306"/>
      <c r="C654" s="466">
        <f t="shared" si="68"/>
        <v>0</v>
      </c>
      <c r="D654" s="466"/>
      <c r="E654" s="599"/>
      <c r="F654" s="893">
        <f t="shared" si="69"/>
        <v>0</v>
      </c>
    </row>
    <row r="655" spans="1:6" s="13" customFormat="1" hidden="1" x14ac:dyDescent="0.3">
      <c r="A655" s="1667"/>
      <c r="B655" s="306"/>
      <c r="C655" s="466">
        <f t="shared" si="68"/>
        <v>0</v>
      </c>
      <c r="D655" s="466"/>
      <c r="E655" s="599"/>
      <c r="F655" s="893">
        <f t="shared" si="69"/>
        <v>0</v>
      </c>
    </row>
    <row r="656" spans="1:6" s="13" customFormat="1" hidden="1" x14ac:dyDescent="0.3">
      <c r="A656" s="1673"/>
      <c r="B656" s="306" t="s">
        <v>740</v>
      </c>
      <c r="C656" s="466">
        <f>SUM(C646:C655)</f>
        <v>0</v>
      </c>
      <c r="D656" s="466">
        <f>SUM(D646:D655)</f>
        <v>0</v>
      </c>
      <c r="E656" s="466">
        <f>SUM(E646:E655)</f>
        <v>0</v>
      </c>
      <c r="F656" s="893">
        <f t="shared" si="69"/>
        <v>0</v>
      </c>
    </row>
    <row r="657" spans="1:6" ht="187.5" x14ac:dyDescent="0.3">
      <c r="A657" s="1674" t="s">
        <v>1137</v>
      </c>
      <c r="B657" s="1601" t="s">
        <v>1423</v>
      </c>
      <c r="C657" s="565">
        <f>D657+E657</f>
        <v>8640580</v>
      </c>
      <c r="D657" s="565"/>
      <c r="E657" s="565">
        <v>8640580</v>
      </c>
      <c r="F657" s="893">
        <f t="shared" si="69"/>
        <v>17281160</v>
      </c>
    </row>
    <row r="658" spans="1:6" s="13" customFormat="1" hidden="1" x14ac:dyDescent="0.3">
      <c r="A658" s="1667"/>
      <c r="B658" s="306"/>
      <c r="C658" s="466">
        <f t="shared" ref="C658:C666" si="70">SUM(D658:E658)</f>
        <v>0</v>
      </c>
      <c r="D658" s="466"/>
      <c r="E658" s="599"/>
      <c r="F658" s="893">
        <f t="shared" si="69"/>
        <v>0</v>
      </c>
    </row>
    <row r="659" spans="1:6" s="13" customFormat="1" hidden="1" x14ac:dyDescent="0.3">
      <c r="A659" s="1667"/>
      <c r="B659" s="306"/>
      <c r="C659" s="466">
        <f t="shared" si="70"/>
        <v>0</v>
      </c>
      <c r="D659" s="466"/>
      <c r="E659" s="599"/>
      <c r="F659" s="893">
        <f t="shared" si="69"/>
        <v>0</v>
      </c>
    </row>
    <row r="660" spans="1:6" s="13" customFormat="1" hidden="1" x14ac:dyDescent="0.3">
      <c r="A660" s="1667"/>
      <c r="B660" s="306"/>
      <c r="C660" s="466">
        <f t="shared" si="70"/>
        <v>0</v>
      </c>
      <c r="D660" s="466"/>
      <c r="E660" s="599"/>
      <c r="F660" s="893">
        <f t="shared" si="69"/>
        <v>0</v>
      </c>
    </row>
    <row r="661" spans="1:6" s="13" customFormat="1" hidden="1" x14ac:dyDescent="0.3">
      <c r="A661" s="1667"/>
      <c r="B661" s="306"/>
      <c r="C661" s="466">
        <f t="shared" si="70"/>
        <v>0</v>
      </c>
      <c r="D661" s="466"/>
      <c r="E661" s="599"/>
      <c r="F661" s="893">
        <f t="shared" si="69"/>
        <v>0</v>
      </c>
    </row>
    <row r="662" spans="1:6" s="13" customFormat="1" hidden="1" x14ac:dyDescent="0.3">
      <c r="A662" s="1667"/>
      <c r="B662" s="306"/>
      <c r="C662" s="466">
        <f t="shared" si="70"/>
        <v>0</v>
      </c>
      <c r="D662" s="466"/>
      <c r="E662" s="599"/>
      <c r="F662" s="893">
        <f t="shared" si="69"/>
        <v>0</v>
      </c>
    </row>
    <row r="663" spans="1:6" s="13" customFormat="1" hidden="1" x14ac:dyDescent="0.3">
      <c r="A663" s="1667"/>
      <c r="B663" s="306"/>
      <c r="C663" s="466">
        <f t="shared" si="70"/>
        <v>0</v>
      </c>
      <c r="D663" s="466"/>
      <c r="E663" s="599"/>
      <c r="F663" s="893">
        <f t="shared" si="69"/>
        <v>0</v>
      </c>
    </row>
    <row r="664" spans="1:6" s="13" customFormat="1" hidden="1" x14ac:dyDescent="0.3">
      <c r="A664" s="1667"/>
      <c r="B664" s="306"/>
      <c r="C664" s="466">
        <f t="shared" si="70"/>
        <v>0</v>
      </c>
      <c r="D664" s="466"/>
      <c r="E664" s="599"/>
      <c r="F664" s="893">
        <f t="shared" si="69"/>
        <v>0</v>
      </c>
    </row>
    <row r="665" spans="1:6" s="13" customFormat="1" hidden="1" x14ac:dyDescent="0.3">
      <c r="A665" s="1667"/>
      <c r="B665" s="306"/>
      <c r="C665" s="466">
        <f t="shared" si="70"/>
        <v>0</v>
      </c>
      <c r="D665" s="466"/>
      <c r="E665" s="599"/>
      <c r="F665" s="893">
        <f t="shared" si="69"/>
        <v>0</v>
      </c>
    </row>
    <row r="666" spans="1:6" s="13" customFormat="1" hidden="1" x14ac:dyDescent="0.3">
      <c r="A666" s="1667"/>
      <c r="B666" s="306"/>
      <c r="C666" s="466">
        <f t="shared" si="70"/>
        <v>0</v>
      </c>
      <c r="D666" s="466"/>
      <c r="E666" s="599"/>
      <c r="F666" s="893">
        <f t="shared" si="69"/>
        <v>0</v>
      </c>
    </row>
    <row r="667" spans="1:6" x14ac:dyDescent="0.3">
      <c r="A667" s="1675"/>
      <c r="B667" s="862" t="s">
        <v>740</v>
      </c>
      <c r="C667" s="1438">
        <f>SUM(C657:C666)</f>
        <v>8640580</v>
      </c>
      <c r="D667" s="1438">
        <f>SUM(D657:D666)</f>
        <v>0</v>
      </c>
      <c r="E667" s="1438">
        <f>SUM(E657:E666)</f>
        <v>8640580</v>
      </c>
      <c r="F667" s="893">
        <f t="shared" si="69"/>
        <v>17281160</v>
      </c>
    </row>
    <row r="668" spans="1:6" s="13" customFormat="1" hidden="1" x14ac:dyDescent="0.3">
      <c r="A668" s="1669" t="s">
        <v>1139</v>
      </c>
      <c r="B668" s="306"/>
      <c r="C668" s="466">
        <f>SUM(D668:E668)</f>
        <v>0</v>
      </c>
      <c r="D668" s="466"/>
      <c r="E668" s="599"/>
      <c r="F668" s="893">
        <f t="shared" si="69"/>
        <v>0</v>
      </c>
    </row>
    <row r="669" spans="1:6" s="13" customFormat="1" hidden="1" x14ac:dyDescent="0.3">
      <c r="A669" s="1667"/>
      <c r="B669" s="306"/>
      <c r="C669" s="466">
        <f t="shared" ref="C669:C677" si="71">SUM(D669:E669)</f>
        <v>0</v>
      </c>
      <c r="D669" s="466"/>
      <c r="E669" s="599"/>
      <c r="F669" s="893">
        <f t="shared" si="69"/>
        <v>0</v>
      </c>
    </row>
    <row r="670" spans="1:6" s="13" customFormat="1" hidden="1" x14ac:dyDescent="0.3">
      <c r="A670" s="1667"/>
      <c r="B670" s="306"/>
      <c r="C670" s="466">
        <f t="shared" si="71"/>
        <v>0</v>
      </c>
      <c r="D670" s="466"/>
      <c r="E670" s="599"/>
      <c r="F670" s="893">
        <f t="shared" si="69"/>
        <v>0</v>
      </c>
    </row>
    <row r="671" spans="1:6" s="13" customFormat="1" hidden="1" x14ac:dyDescent="0.3">
      <c r="A671" s="1667"/>
      <c r="B671" s="306"/>
      <c r="C671" s="466">
        <f t="shared" si="71"/>
        <v>0</v>
      </c>
      <c r="D671" s="466"/>
      <c r="E671" s="599"/>
      <c r="F671" s="893">
        <f t="shared" si="69"/>
        <v>0</v>
      </c>
    </row>
    <row r="672" spans="1:6" s="13" customFormat="1" hidden="1" x14ac:dyDescent="0.3">
      <c r="A672" s="1667"/>
      <c r="B672" s="306"/>
      <c r="C672" s="466">
        <f t="shared" si="71"/>
        <v>0</v>
      </c>
      <c r="D672" s="466"/>
      <c r="E672" s="599"/>
      <c r="F672" s="893">
        <f t="shared" si="69"/>
        <v>0</v>
      </c>
    </row>
    <row r="673" spans="1:6" s="13" customFormat="1" hidden="1" x14ac:dyDescent="0.3">
      <c r="A673" s="1667"/>
      <c r="B673" s="306"/>
      <c r="C673" s="466">
        <f t="shared" si="71"/>
        <v>0</v>
      </c>
      <c r="D673" s="466"/>
      <c r="E673" s="599"/>
      <c r="F673" s="893">
        <f t="shared" si="69"/>
        <v>0</v>
      </c>
    </row>
    <row r="674" spans="1:6" s="13" customFormat="1" hidden="1" x14ac:dyDescent="0.3">
      <c r="A674" s="1667"/>
      <c r="B674" s="306"/>
      <c r="C674" s="466">
        <f t="shared" si="71"/>
        <v>0</v>
      </c>
      <c r="D674" s="466"/>
      <c r="E674" s="599"/>
      <c r="F674" s="893">
        <f t="shared" si="69"/>
        <v>0</v>
      </c>
    </row>
    <row r="675" spans="1:6" s="13" customFormat="1" hidden="1" x14ac:dyDescent="0.3">
      <c r="A675" s="1667"/>
      <c r="B675" s="306"/>
      <c r="C675" s="466">
        <f t="shared" si="71"/>
        <v>0</v>
      </c>
      <c r="D675" s="466"/>
      <c r="E675" s="599"/>
      <c r="F675" s="893">
        <f t="shared" si="69"/>
        <v>0</v>
      </c>
    </row>
    <row r="676" spans="1:6" s="13" customFormat="1" hidden="1" x14ac:dyDescent="0.3">
      <c r="A676" s="1667"/>
      <c r="B676" s="306"/>
      <c r="C676" s="466">
        <f t="shared" si="71"/>
        <v>0</v>
      </c>
      <c r="D676" s="466"/>
      <c r="E676" s="599"/>
      <c r="F676" s="893">
        <f t="shared" si="69"/>
        <v>0</v>
      </c>
    </row>
    <row r="677" spans="1:6" s="13" customFormat="1" hidden="1" x14ac:dyDescent="0.3">
      <c r="A677" s="1667"/>
      <c r="B677" s="306"/>
      <c r="C677" s="466">
        <f t="shared" si="71"/>
        <v>0</v>
      </c>
      <c r="D677" s="466"/>
      <c r="E677" s="599"/>
      <c r="F677" s="893">
        <f t="shared" si="69"/>
        <v>0</v>
      </c>
    </row>
    <row r="678" spans="1:6" s="13" customFormat="1" hidden="1" x14ac:dyDescent="0.3">
      <c r="A678" s="1673"/>
      <c r="B678" s="306" t="s">
        <v>740</v>
      </c>
      <c r="C678" s="466">
        <f>SUM(C668:C677)</f>
        <v>0</v>
      </c>
      <c r="D678" s="466">
        <f>SUM(D668:D677)</f>
        <v>0</v>
      </c>
      <c r="E678" s="466">
        <f>SUM(E668:E677)</f>
        <v>0</v>
      </c>
      <c r="F678" s="893">
        <f t="shared" si="69"/>
        <v>0</v>
      </c>
    </row>
    <row r="679" spans="1:6" s="13" customFormat="1" hidden="1" x14ac:dyDescent="0.3">
      <c r="A679" s="1669" t="s">
        <v>1141</v>
      </c>
      <c r="B679" s="306"/>
      <c r="C679" s="466">
        <f>SUM(D679:E679)</f>
        <v>0</v>
      </c>
      <c r="D679" s="466"/>
      <c r="E679" s="599"/>
      <c r="F679" s="893">
        <f t="shared" si="69"/>
        <v>0</v>
      </c>
    </row>
    <row r="680" spans="1:6" s="13" customFormat="1" hidden="1" x14ac:dyDescent="0.3">
      <c r="A680" s="1667"/>
      <c r="B680" s="306"/>
      <c r="C680" s="466">
        <f t="shared" ref="C680:C688" si="72">SUM(D680:E680)</f>
        <v>0</v>
      </c>
      <c r="D680" s="466"/>
      <c r="E680" s="599"/>
      <c r="F680" s="893">
        <f t="shared" si="69"/>
        <v>0</v>
      </c>
    </row>
    <row r="681" spans="1:6" s="13" customFormat="1" hidden="1" x14ac:dyDescent="0.3">
      <c r="A681" s="1667"/>
      <c r="B681" s="306"/>
      <c r="C681" s="466">
        <f t="shared" si="72"/>
        <v>0</v>
      </c>
      <c r="D681" s="466"/>
      <c r="E681" s="599"/>
      <c r="F681" s="893">
        <f t="shared" si="69"/>
        <v>0</v>
      </c>
    </row>
    <row r="682" spans="1:6" s="13" customFormat="1" hidden="1" x14ac:dyDescent="0.3">
      <c r="A682" s="1667"/>
      <c r="B682" s="306"/>
      <c r="C682" s="466">
        <f t="shared" si="72"/>
        <v>0</v>
      </c>
      <c r="D682" s="466"/>
      <c r="E682" s="599"/>
      <c r="F682" s="893">
        <f t="shared" si="69"/>
        <v>0</v>
      </c>
    </row>
    <row r="683" spans="1:6" s="13" customFormat="1" hidden="1" x14ac:dyDescent="0.3">
      <c r="A683" s="1667"/>
      <c r="B683" s="306"/>
      <c r="C683" s="466">
        <f t="shared" si="72"/>
        <v>0</v>
      </c>
      <c r="D683" s="466"/>
      <c r="E683" s="599"/>
      <c r="F683" s="893">
        <f t="shared" si="69"/>
        <v>0</v>
      </c>
    </row>
    <row r="684" spans="1:6" s="13" customFormat="1" hidden="1" x14ac:dyDescent="0.3">
      <c r="A684" s="1667"/>
      <c r="B684" s="306"/>
      <c r="C684" s="466">
        <f t="shared" si="72"/>
        <v>0</v>
      </c>
      <c r="D684" s="466"/>
      <c r="E684" s="599"/>
      <c r="F684" s="893">
        <f t="shared" si="69"/>
        <v>0</v>
      </c>
    </row>
    <row r="685" spans="1:6" s="13" customFormat="1" hidden="1" x14ac:dyDescent="0.3">
      <c r="A685" s="1667"/>
      <c r="B685" s="306"/>
      <c r="C685" s="466">
        <f t="shared" si="72"/>
        <v>0</v>
      </c>
      <c r="D685" s="466"/>
      <c r="E685" s="599"/>
      <c r="F685" s="893">
        <f t="shared" si="69"/>
        <v>0</v>
      </c>
    </row>
    <row r="686" spans="1:6" s="13" customFormat="1" hidden="1" x14ac:dyDescent="0.3">
      <c r="A686" s="1667"/>
      <c r="B686" s="306"/>
      <c r="C686" s="466">
        <f t="shared" si="72"/>
        <v>0</v>
      </c>
      <c r="D686" s="466"/>
      <c r="E686" s="599"/>
      <c r="F686" s="893">
        <f t="shared" si="69"/>
        <v>0</v>
      </c>
    </row>
    <row r="687" spans="1:6" s="13" customFormat="1" hidden="1" x14ac:dyDescent="0.3">
      <c r="A687" s="1667"/>
      <c r="B687" s="306"/>
      <c r="C687" s="466">
        <f t="shared" si="72"/>
        <v>0</v>
      </c>
      <c r="D687" s="466"/>
      <c r="E687" s="599"/>
      <c r="F687" s="893">
        <f t="shared" si="69"/>
        <v>0</v>
      </c>
    </row>
    <row r="688" spans="1:6" s="13" customFormat="1" hidden="1" x14ac:dyDescent="0.3">
      <c r="A688" s="1667"/>
      <c r="B688" s="306"/>
      <c r="C688" s="466">
        <f t="shared" si="72"/>
        <v>0</v>
      </c>
      <c r="D688" s="466"/>
      <c r="E688" s="599"/>
      <c r="F688" s="893">
        <f t="shared" si="69"/>
        <v>0</v>
      </c>
    </row>
    <row r="689" spans="1:6" s="13" customFormat="1" hidden="1" x14ac:dyDescent="0.3">
      <c r="A689" s="1673"/>
      <c r="B689" s="306" t="s">
        <v>740</v>
      </c>
      <c r="C689" s="466">
        <f>SUM(C679:C688)</f>
        <v>0</v>
      </c>
      <c r="D689" s="466">
        <f>SUM(D679:D688)</f>
        <v>0</v>
      </c>
      <c r="E689" s="466">
        <f>SUM(E679:E688)</f>
        <v>0</v>
      </c>
      <c r="F689" s="893">
        <f t="shared" si="69"/>
        <v>0</v>
      </c>
    </row>
    <row r="690" spans="1:6" s="13" customFormat="1" hidden="1" x14ac:dyDescent="0.3">
      <c r="A690" s="1669" t="s">
        <v>1143</v>
      </c>
      <c r="B690" s="306"/>
      <c r="C690" s="466">
        <f>SUM(D690:E690)</f>
        <v>0</v>
      </c>
      <c r="D690" s="466"/>
      <c r="E690" s="599"/>
      <c r="F690" s="893">
        <f t="shared" si="69"/>
        <v>0</v>
      </c>
    </row>
    <row r="691" spans="1:6" s="13" customFormat="1" hidden="1" x14ac:dyDescent="0.3">
      <c r="A691" s="1667"/>
      <c r="B691" s="306"/>
      <c r="C691" s="466">
        <f t="shared" ref="C691:C699" si="73">SUM(D691:E691)</f>
        <v>0</v>
      </c>
      <c r="D691" s="466"/>
      <c r="E691" s="599"/>
      <c r="F691" s="893">
        <f t="shared" si="69"/>
        <v>0</v>
      </c>
    </row>
    <row r="692" spans="1:6" s="13" customFormat="1" hidden="1" x14ac:dyDescent="0.3">
      <c r="A692" s="1667"/>
      <c r="B692" s="306"/>
      <c r="C692" s="466">
        <f t="shared" si="73"/>
        <v>0</v>
      </c>
      <c r="D692" s="466"/>
      <c r="E692" s="599"/>
      <c r="F692" s="893">
        <f t="shared" si="69"/>
        <v>0</v>
      </c>
    </row>
    <row r="693" spans="1:6" s="13" customFormat="1" hidden="1" x14ac:dyDescent="0.3">
      <c r="A693" s="1667"/>
      <c r="B693" s="306"/>
      <c r="C693" s="466">
        <f t="shared" si="73"/>
        <v>0</v>
      </c>
      <c r="D693" s="466"/>
      <c r="E693" s="599"/>
      <c r="F693" s="893">
        <f t="shared" si="69"/>
        <v>0</v>
      </c>
    </row>
    <row r="694" spans="1:6" s="13" customFormat="1" hidden="1" x14ac:dyDescent="0.3">
      <c r="A694" s="1667"/>
      <c r="B694" s="306"/>
      <c r="C694" s="466">
        <f t="shared" si="73"/>
        <v>0</v>
      </c>
      <c r="D694" s="466"/>
      <c r="E694" s="599"/>
      <c r="F694" s="893">
        <f t="shared" si="69"/>
        <v>0</v>
      </c>
    </row>
    <row r="695" spans="1:6" s="13" customFormat="1" hidden="1" x14ac:dyDescent="0.3">
      <c r="A695" s="1667"/>
      <c r="B695" s="306"/>
      <c r="C695" s="466">
        <f t="shared" si="73"/>
        <v>0</v>
      </c>
      <c r="D695" s="466"/>
      <c r="E695" s="599"/>
      <c r="F695" s="893">
        <f t="shared" si="69"/>
        <v>0</v>
      </c>
    </row>
    <row r="696" spans="1:6" s="13" customFormat="1" hidden="1" x14ac:dyDescent="0.3">
      <c r="A696" s="1667"/>
      <c r="B696" s="306"/>
      <c r="C696" s="466">
        <f t="shared" si="73"/>
        <v>0</v>
      </c>
      <c r="D696" s="466"/>
      <c r="E696" s="599"/>
      <c r="F696" s="893">
        <f t="shared" si="69"/>
        <v>0</v>
      </c>
    </row>
    <row r="697" spans="1:6" s="13" customFormat="1" hidden="1" x14ac:dyDescent="0.3">
      <c r="A697" s="1667"/>
      <c r="B697" s="306"/>
      <c r="C697" s="466">
        <f t="shared" si="73"/>
        <v>0</v>
      </c>
      <c r="D697" s="466"/>
      <c r="E697" s="599"/>
      <c r="F697" s="893">
        <f t="shared" si="69"/>
        <v>0</v>
      </c>
    </row>
    <row r="698" spans="1:6" s="13" customFormat="1" hidden="1" x14ac:dyDescent="0.3">
      <c r="A698" s="1667"/>
      <c r="B698" s="306"/>
      <c r="C698" s="466">
        <f t="shared" si="73"/>
        <v>0</v>
      </c>
      <c r="D698" s="466"/>
      <c r="E698" s="599"/>
      <c r="F698" s="893">
        <f t="shared" si="69"/>
        <v>0</v>
      </c>
    </row>
    <row r="699" spans="1:6" s="13" customFormat="1" hidden="1" x14ac:dyDescent="0.3">
      <c r="A699" s="1667"/>
      <c r="B699" s="306"/>
      <c r="C699" s="466">
        <f t="shared" si="73"/>
        <v>0</v>
      </c>
      <c r="D699" s="466"/>
      <c r="E699" s="599"/>
      <c r="F699" s="893">
        <f t="shared" si="69"/>
        <v>0</v>
      </c>
    </row>
    <row r="700" spans="1:6" s="13" customFormat="1" hidden="1" x14ac:dyDescent="0.3">
      <c r="A700" s="1673"/>
      <c r="B700" s="306" t="s">
        <v>740</v>
      </c>
      <c r="C700" s="466">
        <f>SUM(C690:C699)</f>
        <v>0</v>
      </c>
      <c r="D700" s="466">
        <f>SUM(D690:D699)</f>
        <v>0</v>
      </c>
      <c r="E700" s="466">
        <f>SUM(E690:E699)</f>
        <v>0</v>
      </c>
      <c r="F700" s="893">
        <f t="shared" si="69"/>
        <v>0</v>
      </c>
    </row>
    <row r="701" spans="1:6" s="13" customFormat="1" hidden="1" x14ac:dyDescent="0.3">
      <c r="A701" s="1669" t="s">
        <v>1145</v>
      </c>
      <c r="B701" s="306"/>
      <c r="C701" s="466">
        <f>SUM(D701:E701)</f>
        <v>0</v>
      </c>
      <c r="D701" s="466"/>
      <c r="E701" s="599"/>
      <c r="F701" s="893">
        <f t="shared" si="69"/>
        <v>0</v>
      </c>
    </row>
    <row r="702" spans="1:6" s="13" customFormat="1" hidden="1" x14ac:dyDescent="0.3">
      <c r="A702" s="1667"/>
      <c r="B702" s="306"/>
      <c r="C702" s="466">
        <f t="shared" ref="C702:C710" si="74">SUM(D702:E702)</f>
        <v>0</v>
      </c>
      <c r="D702" s="466"/>
      <c r="E702" s="599"/>
      <c r="F702" s="893">
        <f t="shared" si="69"/>
        <v>0</v>
      </c>
    </row>
    <row r="703" spans="1:6" s="13" customFormat="1" hidden="1" x14ac:dyDescent="0.3">
      <c r="A703" s="1667"/>
      <c r="B703" s="306"/>
      <c r="C703" s="466">
        <f t="shared" si="74"/>
        <v>0</v>
      </c>
      <c r="D703" s="466"/>
      <c r="E703" s="599"/>
      <c r="F703" s="893">
        <f t="shared" si="69"/>
        <v>0</v>
      </c>
    </row>
    <row r="704" spans="1:6" s="13" customFormat="1" hidden="1" x14ac:dyDescent="0.3">
      <c r="A704" s="1667"/>
      <c r="B704" s="306"/>
      <c r="C704" s="466">
        <f t="shared" si="74"/>
        <v>0</v>
      </c>
      <c r="D704" s="466"/>
      <c r="E704" s="599"/>
      <c r="F704" s="893">
        <f t="shared" si="69"/>
        <v>0</v>
      </c>
    </row>
    <row r="705" spans="1:6" s="13" customFormat="1" hidden="1" x14ac:dyDescent="0.3">
      <c r="A705" s="1667"/>
      <c r="B705" s="306"/>
      <c r="C705" s="466">
        <f t="shared" si="74"/>
        <v>0</v>
      </c>
      <c r="D705" s="466"/>
      <c r="E705" s="599"/>
      <c r="F705" s="893">
        <f t="shared" si="69"/>
        <v>0</v>
      </c>
    </row>
    <row r="706" spans="1:6" s="13" customFormat="1" hidden="1" x14ac:dyDescent="0.3">
      <c r="A706" s="1667"/>
      <c r="B706" s="306"/>
      <c r="C706" s="466">
        <f t="shared" si="74"/>
        <v>0</v>
      </c>
      <c r="D706" s="466"/>
      <c r="E706" s="599"/>
      <c r="F706" s="893">
        <f t="shared" si="69"/>
        <v>0</v>
      </c>
    </row>
    <row r="707" spans="1:6" s="13" customFormat="1" hidden="1" x14ac:dyDescent="0.3">
      <c r="A707" s="1667"/>
      <c r="B707" s="306"/>
      <c r="C707" s="466">
        <f t="shared" si="74"/>
        <v>0</v>
      </c>
      <c r="D707" s="466"/>
      <c r="E707" s="599"/>
      <c r="F707" s="893">
        <f t="shared" si="69"/>
        <v>0</v>
      </c>
    </row>
    <row r="708" spans="1:6" s="13" customFormat="1" hidden="1" x14ac:dyDescent="0.3">
      <c r="A708" s="1667"/>
      <c r="B708" s="306"/>
      <c r="C708" s="466">
        <f t="shared" si="74"/>
        <v>0</v>
      </c>
      <c r="D708" s="466"/>
      <c r="E708" s="599"/>
      <c r="F708" s="893">
        <f t="shared" si="69"/>
        <v>0</v>
      </c>
    </row>
    <row r="709" spans="1:6" s="13" customFormat="1" hidden="1" x14ac:dyDescent="0.3">
      <c r="A709" s="1667"/>
      <c r="B709" s="306"/>
      <c r="C709" s="466">
        <f t="shared" si="74"/>
        <v>0</v>
      </c>
      <c r="D709" s="466"/>
      <c r="E709" s="599"/>
      <c r="F709" s="893">
        <f t="shared" si="69"/>
        <v>0</v>
      </c>
    </row>
    <row r="710" spans="1:6" s="13" customFormat="1" hidden="1" x14ac:dyDescent="0.3">
      <c r="A710" s="1667"/>
      <c r="B710" s="306"/>
      <c r="C710" s="466">
        <f t="shared" si="74"/>
        <v>0</v>
      </c>
      <c r="D710" s="466"/>
      <c r="E710" s="599"/>
      <c r="F710" s="893">
        <f t="shared" si="69"/>
        <v>0</v>
      </c>
    </row>
    <row r="711" spans="1:6" s="13" customFormat="1" hidden="1" x14ac:dyDescent="0.3">
      <c r="A711" s="1673"/>
      <c r="B711" s="306" t="s">
        <v>740</v>
      </c>
      <c r="C711" s="466">
        <f>SUM(C701:C710)</f>
        <v>0</v>
      </c>
      <c r="D711" s="466">
        <f>SUM(D701:D710)</f>
        <v>0</v>
      </c>
      <c r="E711" s="466">
        <f>SUM(E701:E710)</f>
        <v>0</v>
      </c>
      <c r="F711" s="893">
        <f t="shared" si="69"/>
        <v>0</v>
      </c>
    </row>
    <row r="712" spans="1:6" s="13" customFormat="1" hidden="1" x14ac:dyDescent="0.3">
      <c r="A712" s="1669" t="s">
        <v>1147</v>
      </c>
      <c r="B712" s="306"/>
      <c r="C712" s="466">
        <f>SUM(D712:E712)</f>
        <v>0</v>
      </c>
      <c r="D712" s="466"/>
      <c r="E712" s="599"/>
      <c r="F712" s="893">
        <f t="shared" si="69"/>
        <v>0</v>
      </c>
    </row>
    <row r="713" spans="1:6" s="13" customFormat="1" hidden="1" x14ac:dyDescent="0.3">
      <c r="A713" s="1667"/>
      <c r="B713" s="306"/>
      <c r="C713" s="466">
        <f t="shared" ref="C713:C721" si="75">SUM(D713:E713)</f>
        <v>0</v>
      </c>
      <c r="D713" s="466"/>
      <c r="E713" s="599"/>
      <c r="F713" s="893">
        <f t="shared" si="69"/>
        <v>0</v>
      </c>
    </row>
    <row r="714" spans="1:6" s="13" customFormat="1" hidden="1" x14ac:dyDescent="0.3">
      <c r="A714" s="1667"/>
      <c r="B714" s="306"/>
      <c r="C714" s="466">
        <f t="shared" si="75"/>
        <v>0</v>
      </c>
      <c r="D714" s="466"/>
      <c r="E714" s="599"/>
      <c r="F714" s="893">
        <f t="shared" si="69"/>
        <v>0</v>
      </c>
    </row>
    <row r="715" spans="1:6" s="13" customFormat="1" hidden="1" x14ac:dyDescent="0.3">
      <c r="A715" s="1667"/>
      <c r="B715" s="306"/>
      <c r="C715" s="466">
        <f t="shared" si="75"/>
        <v>0</v>
      </c>
      <c r="D715" s="466"/>
      <c r="E715" s="599"/>
      <c r="F715" s="893">
        <f t="shared" ref="F715:F734" si="76">SUM(C715:E715)</f>
        <v>0</v>
      </c>
    </row>
    <row r="716" spans="1:6" s="13" customFormat="1" hidden="1" x14ac:dyDescent="0.3">
      <c r="A716" s="1667"/>
      <c r="B716" s="306"/>
      <c r="C716" s="466">
        <f t="shared" si="75"/>
        <v>0</v>
      </c>
      <c r="D716" s="466"/>
      <c r="E716" s="599"/>
      <c r="F716" s="893">
        <f t="shared" si="76"/>
        <v>0</v>
      </c>
    </row>
    <row r="717" spans="1:6" s="13" customFormat="1" hidden="1" x14ac:dyDescent="0.3">
      <c r="A717" s="1667"/>
      <c r="B717" s="306"/>
      <c r="C717" s="466">
        <f t="shared" si="75"/>
        <v>0</v>
      </c>
      <c r="D717" s="466"/>
      <c r="E717" s="599"/>
      <c r="F717" s="893">
        <f t="shared" si="76"/>
        <v>0</v>
      </c>
    </row>
    <row r="718" spans="1:6" s="13" customFormat="1" hidden="1" x14ac:dyDescent="0.3">
      <c r="A718" s="1667"/>
      <c r="B718" s="306"/>
      <c r="C718" s="466">
        <f t="shared" si="75"/>
        <v>0</v>
      </c>
      <c r="D718" s="466"/>
      <c r="E718" s="599"/>
      <c r="F718" s="893">
        <f t="shared" si="76"/>
        <v>0</v>
      </c>
    </row>
    <row r="719" spans="1:6" s="13" customFormat="1" hidden="1" x14ac:dyDescent="0.3">
      <c r="A719" s="1667"/>
      <c r="B719" s="306"/>
      <c r="C719" s="466">
        <f t="shared" si="75"/>
        <v>0</v>
      </c>
      <c r="D719" s="466"/>
      <c r="E719" s="599"/>
      <c r="F719" s="893">
        <f t="shared" si="76"/>
        <v>0</v>
      </c>
    </row>
    <row r="720" spans="1:6" s="13" customFormat="1" hidden="1" x14ac:dyDescent="0.3">
      <c r="A720" s="1667"/>
      <c r="B720" s="306"/>
      <c r="C720" s="466">
        <f t="shared" si="75"/>
        <v>0</v>
      </c>
      <c r="D720" s="466"/>
      <c r="E720" s="599"/>
      <c r="F720" s="893">
        <f t="shared" si="76"/>
        <v>0</v>
      </c>
    </row>
    <row r="721" spans="1:6" s="13" customFormat="1" hidden="1" x14ac:dyDescent="0.3">
      <c r="A721" s="1667"/>
      <c r="B721" s="306"/>
      <c r="C721" s="466">
        <f t="shared" si="75"/>
        <v>0</v>
      </c>
      <c r="D721" s="466"/>
      <c r="E721" s="599"/>
      <c r="F721" s="893">
        <f t="shared" si="76"/>
        <v>0</v>
      </c>
    </row>
    <row r="722" spans="1:6" s="13" customFormat="1" hidden="1" x14ac:dyDescent="0.3">
      <c r="A722" s="1673"/>
      <c r="B722" s="306" t="s">
        <v>740</v>
      </c>
      <c r="C722" s="466">
        <f>SUM(C712:C721)</f>
        <v>0</v>
      </c>
      <c r="D722" s="466">
        <f>SUM(D712:D721)</f>
        <v>0</v>
      </c>
      <c r="E722" s="466">
        <f>SUM(E712:E721)</f>
        <v>0</v>
      </c>
      <c r="F722" s="893">
        <f t="shared" si="76"/>
        <v>0</v>
      </c>
    </row>
    <row r="723" spans="1:6" s="13" customFormat="1" hidden="1" x14ac:dyDescent="0.3">
      <c r="A723" s="1669" t="s">
        <v>1149</v>
      </c>
      <c r="B723" s="306"/>
      <c r="C723" s="466">
        <f>SUM(D723:E723)</f>
        <v>0</v>
      </c>
      <c r="D723" s="466"/>
      <c r="E723" s="599"/>
      <c r="F723" s="893">
        <f t="shared" si="76"/>
        <v>0</v>
      </c>
    </row>
    <row r="724" spans="1:6" s="13" customFormat="1" hidden="1" x14ac:dyDescent="0.3">
      <c r="A724" s="1667"/>
      <c r="B724" s="306"/>
      <c r="C724" s="466">
        <f t="shared" ref="C724:C732" si="77">SUM(D724:E724)</f>
        <v>0</v>
      </c>
      <c r="D724" s="466"/>
      <c r="E724" s="599"/>
      <c r="F724" s="893">
        <f t="shared" si="76"/>
        <v>0</v>
      </c>
    </row>
    <row r="725" spans="1:6" s="13" customFormat="1" hidden="1" x14ac:dyDescent="0.3">
      <c r="A725" s="1667"/>
      <c r="B725" s="306"/>
      <c r="C725" s="466">
        <f t="shared" si="77"/>
        <v>0</v>
      </c>
      <c r="D725" s="466"/>
      <c r="E725" s="599"/>
      <c r="F725" s="893">
        <f t="shared" si="76"/>
        <v>0</v>
      </c>
    </row>
    <row r="726" spans="1:6" s="13" customFormat="1" hidden="1" x14ac:dyDescent="0.3">
      <c r="A726" s="1667"/>
      <c r="B726" s="306"/>
      <c r="C726" s="466">
        <f t="shared" si="77"/>
        <v>0</v>
      </c>
      <c r="D726" s="466"/>
      <c r="E726" s="599"/>
      <c r="F726" s="893">
        <f t="shared" si="76"/>
        <v>0</v>
      </c>
    </row>
    <row r="727" spans="1:6" s="13" customFormat="1" hidden="1" x14ac:dyDescent="0.3">
      <c r="A727" s="1667"/>
      <c r="B727" s="306"/>
      <c r="C727" s="466">
        <f t="shared" si="77"/>
        <v>0</v>
      </c>
      <c r="D727" s="466"/>
      <c r="E727" s="599"/>
      <c r="F727" s="893">
        <f t="shared" si="76"/>
        <v>0</v>
      </c>
    </row>
    <row r="728" spans="1:6" s="13" customFormat="1" hidden="1" x14ac:dyDescent="0.3">
      <c r="A728" s="1667"/>
      <c r="B728" s="306"/>
      <c r="C728" s="466">
        <f t="shared" si="77"/>
        <v>0</v>
      </c>
      <c r="D728" s="466"/>
      <c r="E728" s="599"/>
      <c r="F728" s="893">
        <f t="shared" si="76"/>
        <v>0</v>
      </c>
    </row>
    <row r="729" spans="1:6" s="13" customFormat="1" hidden="1" x14ac:dyDescent="0.3">
      <c r="A729" s="1667"/>
      <c r="B729" s="306"/>
      <c r="C729" s="466">
        <f t="shared" si="77"/>
        <v>0</v>
      </c>
      <c r="D729" s="466"/>
      <c r="E729" s="599"/>
      <c r="F729" s="893">
        <f t="shared" si="76"/>
        <v>0</v>
      </c>
    </row>
    <row r="730" spans="1:6" s="13" customFormat="1" hidden="1" x14ac:dyDescent="0.3">
      <c r="A730" s="1667"/>
      <c r="B730" s="306"/>
      <c r="C730" s="466">
        <f t="shared" si="77"/>
        <v>0</v>
      </c>
      <c r="D730" s="466"/>
      <c r="E730" s="599"/>
      <c r="F730" s="893">
        <f t="shared" si="76"/>
        <v>0</v>
      </c>
    </row>
    <row r="731" spans="1:6" s="13" customFormat="1" hidden="1" x14ac:dyDescent="0.3">
      <c r="A731" s="1667"/>
      <c r="B731" s="306"/>
      <c r="C731" s="466">
        <f t="shared" si="77"/>
        <v>0</v>
      </c>
      <c r="D731" s="466"/>
      <c r="E731" s="599"/>
      <c r="F731" s="893">
        <f t="shared" si="76"/>
        <v>0</v>
      </c>
    </row>
    <row r="732" spans="1:6" s="13" customFormat="1" hidden="1" x14ac:dyDescent="0.3">
      <c r="A732" s="1667"/>
      <c r="B732" s="306"/>
      <c r="C732" s="466">
        <f t="shared" si="77"/>
        <v>0</v>
      </c>
      <c r="D732" s="466"/>
      <c r="E732" s="599"/>
      <c r="F732" s="893">
        <f t="shared" si="76"/>
        <v>0</v>
      </c>
    </row>
    <row r="733" spans="1:6" s="13" customFormat="1" hidden="1" x14ac:dyDescent="0.3">
      <c r="A733" s="1673"/>
      <c r="B733" s="306" t="s">
        <v>740</v>
      </c>
      <c r="C733" s="466">
        <f>SUM(C723:C732)</f>
        <v>0</v>
      </c>
      <c r="D733" s="466">
        <f>SUM(D723:D732)</f>
        <v>0</v>
      </c>
      <c r="E733" s="466">
        <f>SUM(E723:E732)</f>
        <v>0</v>
      </c>
      <c r="F733" s="893">
        <f t="shared" si="76"/>
        <v>0</v>
      </c>
    </row>
    <row r="734" spans="1:6" x14ac:dyDescent="0.3">
      <c r="A734" s="846"/>
      <c r="B734" s="1067" t="s">
        <v>1210</v>
      </c>
      <c r="C734" s="1454">
        <f>C20+C31+C42+C53+C64+C74+C85+C96+C107+C118+C129+C140+C151+C162+C173+C184+C195+C206+C217+C228+C239+C250+C261+C272+C283+C294+C305+C316+C327+C338+C349+C360+C370+C381+C392+C403+C414+C425+C436+C447+C458+C469+C480+C491+C502+C513+C524+C535+C546+C557+C568+C579+C590+C601+C612+C623+C634+C645+C656+C667+C678+C689+C700+C711+C722+C733</f>
        <v>29457808.809999999</v>
      </c>
      <c r="D734" s="1454">
        <f>D20+D31+D42+D53+D64+D74+D85+D96+D107+D118+D129+D140+D151+D162+D173+D184+D195+D206+D217+D228+D239+D250+D261+D272+D283+D294+D305+D316+D327+D338+D349+D360+D370+D381+D392+D403+D414+D425+D436+D447+D458+D469+D480+D491+D502+D513+D524+D535+D546+D557+D568+D579+D590+D601+D612+D623+D634+D645+D656+D667+D678+D689+D700+D711+D722+D733</f>
        <v>0</v>
      </c>
      <c r="E734" s="1454">
        <f>E20+E31+E42+E53+E64+E74+E85+E96+E107+E118+E129+E140+E151+E162+E173+E184+E195+E206+E217+E228+E239+E250+E261+E272+E283+E294+E305+E316+E327+E338+E349+E360+E370+E381+E392+E403+E414+E425+E436+E447+E458+E469+E480+E491+E502+E513+E524+E535+E546+E557+E568+E579+E590+E601+E612+E623+E634+E645+E656+E667+E678+E689+E700+E711+E722+E733</f>
        <v>29457808.809999999</v>
      </c>
      <c r="F734" s="893">
        <f t="shared" si="76"/>
        <v>58915617.619999997</v>
      </c>
    </row>
    <row r="735" spans="1:6" x14ac:dyDescent="0.3">
      <c r="A735" s="1531"/>
      <c r="B735" s="1602"/>
      <c r="C735" s="1533"/>
      <c r="D735" s="1533"/>
      <c r="E735" s="1533"/>
      <c r="F735" s="13">
        <v>1</v>
      </c>
    </row>
    <row r="736" spans="1:6" x14ac:dyDescent="0.3">
      <c r="A736" s="1509" t="s">
        <v>174</v>
      </c>
      <c r="B736" s="1538"/>
      <c r="C736" s="1536"/>
      <c r="D736" s="1537"/>
      <c r="E736" s="1538" t="s">
        <v>1171</v>
      </c>
      <c r="F736" s="13">
        <v>1</v>
      </c>
    </row>
    <row r="737" spans="1:6" x14ac:dyDescent="0.3">
      <c r="A737" s="1531"/>
      <c r="B737" s="1602"/>
      <c r="C737" s="1533"/>
      <c r="D737" s="1533"/>
      <c r="E737" s="1533"/>
      <c r="F737" s="13">
        <v>1</v>
      </c>
    </row>
    <row r="738" spans="1:6" x14ac:dyDescent="0.3">
      <c r="A738" s="1531"/>
      <c r="B738" s="1602"/>
      <c r="C738" s="1533"/>
      <c r="D738" s="1533"/>
      <c r="E738" s="1533"/>
      <c r="F738" s="13">
        <v>1</v>
      </c>
    </row>
    <row r="739" spans="1:6" s="13" customFormat="1" hidden="1" x14ac:dyDescent="0.3">
      <c r="A739" s="159"/>
      <c r="B739" s="236"/>
      <c r="C739" s="236"/>
      <c r="D739" s="236"/>
      <c r="E739" s="236"/>
      <c r="F739" s="13">
        <f t="shared" ref="F739:F746" si="78">SUM(C739:E739)</f>
        <v>0</v>
      </c>
    </row>
    <row r="740" spans="1:6" s="13" customFormat="1" hidden="1" x14ac:dyDescent="0.3">
      <c r="A740" s="161"/>
      <c r="B740" s="241"/>
      <c r="C740" s="234"/>
      <c r="D740" s="234"/>
      <c r="E740" s="234"/>
      <c r="F740" s="13">
        <f t="shared" si="78"/>
        <v>0</v>
      </c>
    </row>
    <row r="741" spans="1:6" s="13" customFormat="1" hidden="1" x14ac:dyDescent="0.3">
      <c r="A741" s="159"/>
      <c r="B741" s="236"/>
      <c r="C741" s="235">
        <f>дод1!C160-' дод1.2без змін'!C734</f>
        <v>0</v>
      </c>
      <c r="D741" s="235">
        <f>дод1!D160-' дод1.2без змін'!D734</f>
        <v>0</v>
      </c>
      <c r="E741" s="235">
        <f>дод1!E160-' дод1.2без змін'!E734</f>
        <v>0</v>
      </c>
      <c r="F741" s="13">
        <f t="shared" si="78"/>
        <v>0</v>
      </c>
    </row>
    <row r="742" spans="1:6" s="67" customFormat="1" hidden="1" x14ac:dyDescent="0.3">
      <c r="A742" s="221"/>
      <c r="B742" s="245"/>
      <c r="C742" s="246"/>
      <c r="D742" s="246"/>
      <c r="E742" s="273"/>
      <c r="F742" s="13">
        <f t="shared" si="78"/>
        <v>0</v>
      </c>
    </row>
    <row r="743" spans="1:6" s="13" customFormat="1" hidden="1" x14ac:dyDescent="0.3">
      <c r="A743" s="159"/>
      <c r="B743" s="236"/>
      <c r="C743" s="235"/>
      <c r="D743" s="235"/>
      <c r="E743" s="155"/>
      <c r="F743" s="13">
        <f t="shared" si="78"/>
        <v>0</v>
      </c>
    </row>
    <row r="744" spans="1:6" s="13" customFormat="1" hidden="1" x14ac:dyDescent="0.3">
      <c r="C744" s="236"/>
      <c r="D744" s="236"/>
      <c r="E744" s="236"/>
      <c r="F744" s="13">
        <f t="shared" si="78"/>
        <v>0</v>
      </c>
    </row>
    <row r="745" spans="1:6" s="13" customFormat="1" hidden="1" x14ac:dyDescent="0.3">
      <c r="A745" s="159"/>
      <c r="B745" s="236"/>
      <c r="C745" s="236"/>
      <c r="D745" s="236"/>
      <c r="E745" s="76"/>
      <c r="F745" s="13">
        <f t="shared" si="78"/>
        <v>0</v>
      </c>
    </row>
    <row r="746" spans="1:6" s="13" customFormat="1" hidden="1" x14ac:dyDescent="0.3">
      <c r="A746" s="159"/>
      <c r="B746" s="236" t="s">
        <v>63</v>
      </c>
      <c r="C746" s="235">
        <f>дод1!C160</f>
        <v>29457808.809999999</v>
      </c>
      <c r="D746" s="235">
        <f>дод1!D160</f>
        <v>0</v>
      </c>
      <c r="E746" s="235">
        <f>дод1!E160</f>
        <v>29457808.809999999</v>
      </c>
      <c r="F746" s="13">
        <f t="shared" si="78"/>
        <v>58915617.619999997</v>
      </c>
    </row>
    <row r="747" spans="1:6" s="228" customFormat="1" hidden="1" x14ac:dyDescent="0.3">
      <c r="A747" s="282"/>
      <c r="B747" s="283" t="s">
        <v>678</v>
      </c>
      <c r="C747" s="284" t="b">
        <f>C746=C734</f>
        <v>1</v>
      </c>
      <c r="D747" s="284" t="b">
        <f>D746=D734</f>
        <v>1</v>
      </c>
      <c r="E747" s="284" t="b">
        <f>E746=E734</f>
        <v>1</v>
      </c>
      <c r="F747" s="13">
        <v>1</v>
      </c>
    </row>
    <row r="748" spans="1:6" s="13" customFormat="1" hidden="1" x14ac:dyDescent="0.3">
      <c r="A748" s="159"/>
      <c r="B748" s="236"/>
      <c r="C748" s="236"/>
      <c r="D748" s="236"/>
      <c r="E748" s="76"/>
    </row>
    <row r="749" spans="1:6" s="13" customFormat="1" hidden="1" x14ac:dyDescent="0.3">
      <c r="A749" s="159"/>
      <c r="B749" s="236"/>
      <c r="C749" s="236"/>
      <c r="D749" s="236"/>
      <c r="E749" s="76"/>
    </row>
    <row r="750" spans="1:6" s="13" customFormat="1" hidden="1" x14ac:dyDescent="0.3">
      <c r="A750" s="159"/>
      <c r="B750" s="236"/>
      <c r="C750" s="236"/>
      <c r="D750" s="236"/>
      <c r="E750" s="76"/>
    </row>
    <row r="751" spans="1:6" s="13" customFormat="1" hidden="1" x14ac:dyDescent="0.3">
      <c r="A751" s="159"/>
      <c r="B751" s="236"/>
      <c r="C751" s="236"/>
      <c r="D751" s="236"/>
      <c r="E751" s="76"/>
    </row>
    <row r="752" spans="1:6" s="13" customFormat="1" hidden="1" x14ac:dyDescent="0.3">
      <c r="A752" s="159"/>
      <c r="B752" s="236"/>
      <c r="C752" s="236"/>
      <c r="D752" s="236"/>
      <c r="E752" s="76"/>
    </row>
    <row r="753" spans="1:5" s="13" customFormat="1" hidden="1" x14ac:dyDescent="0.3">
      <c r="A753" s="159"/>
      <c r="B753" s="236"/>
      <c r="C753" s="236"/>
      <c r="D753" s="236"/>
      <c r="E753" s="76"/>
    </row>
    <row r="754" spans="1:5" s="13" customFormat="1" hidden="1" x14ac:dyDescent="0.3">
      <c r="A754" s="159"/>
      <c r="B754" s="236"/>
      <c r="C754" s="236"/>
      <c r="D754" s="236"/>
      <c r="E754" s="76"/>
    </row>
    <row r="755" spans="1:5" s="13" customFormat="1" hidden="1" x14ac:dyDescent="0.3">
      <c r="A755" s="159"/>
      <c r="B755" s="236"/>
      <c r="C755" s="236"/>
      <c r="D755" s="236"/>
      <c r="E755" s="76"/>
    </row>
    <row r="756" spans="1:5" s="13" customFormat="1" hidden="1" x14ac:dyDescent="0.3">
      <c r="A756" s="159"/>
      <c r="B756" s="236"/>
      <c r="C756" s="236"/>
      <c r="D756" s="236"/>
      <c r="E756" s="76"/>
    </row>
    <row r="757" spans="1:5" s="13" customFormat="1" hidden="1" x14ac:dyDescent="0.3">
      <c r="A757" s="159"/>
      <c r="B757" s="236"/>
      <c r="C757" s="236"/>
      <c r="D757" s="236"/>
      <c r="E757" s="76"/>
    </row>
    <row r="758" spans="1:5" s="13" customFormat="1" hidden="1" x14ac:dyDescent="0.3">
      <c r="A758" s="159"/>
      <c r="B758" s="236"/>
      <c r="C758" s="236"/>
      <c r="D758" s="236"/>
      <c r="E758" s="76"/>
    </row>
    <row r="759" spans="1:5" s="13" customFormat="1" hidden="1" x14ac:dyDescent="0.3">
      <c r="A759" s="159"/>
      <c r="B759" s="236"/>
      <c r="C759" s="236"/>
      <c r="D759" s="236"/>
      <c r="E759" s="76"/>
    </row>
    <row r="760" spans="1:5" s="13" customFormat="1" hidden="1" x14ac:dyDescent="0.3">
      <c r="A760" s="159"/>
      <c r="B760" s="236"/>
      <c r="C760" s="236"/>
      <c r="D760" s="236"/>
      <c r="E760" s="76"/>
    </row>
    <row r="761" spans="1:5" s="13" customFormat="1" hidden="1" x14ac:dyDescent="0.3">
      <c r="A761" s="159"/>
      <c r="B761" s="236"/>
      <c r="C761" s="236"/>
      <c r="D761" s="236"/>
      <c r="E761" s="76"/>
    </row>
    <row r="762" spans="1:5" s="13" customFormat="1" hidden="1" x14ac:dyDescent="0.3">
      <c r="A762" s="159"/>
      <c r="B762" s="236"/>
      <c r="C762" s="236"/>
      <c r="D762" s="236"/>
      <c r="E762" s="76"/>
    </row>
    <row r="763" spans="1:5" s="13" customFormat="1" hidden="1" x14ac:dyDescent="0.3">
      <c r="A763" s="159"/>
      <c r="B763" s="236"/>
      <c r="C763" s="236"/>
      <c r="D763" s="236"/>
      <c r="E763" s="76"/>
    </row>
    <row r="764" spans="1:5" s="13" customFormat="1" hidden="1" x14ac:dyDescent="0.3">
      <c r="A764" s="159"/>
      <c r="B764" s="236"/>
      <c r="C764" s="236"/>
      <c r="D764" s="236"/>
      <c r="E764" s="76"/>
    </row>
    <row r="765" spans="1:5" s="13" customFormat="1" hidden="1" x14ac:dyDescent="0.3">
      <c r="A765" s="159"/>
      <c r="B765" s="236"/>
      <c r="C765" s="236"/>
      <c r="D765" s="236"/>
      <c r="E765" s="76"/>
    </row>
    <row r="766" spans="1:5" s="13" customFormat="1" hidden="1" x14ac:dyDescent="0.3">
      <c r="A766" s="159"/>
      <c r="B766" s="236"/>
      <c r="C766" s="236"/>
      <c r="D766" s="236"/>
      <c r="E766" s="76"/>
    </row>
    <row r="767" spans="1:5" s="13" customFormat="1" hidden="1" x14ac:dyDescent="0.3">
      <c r="A767" s="159"/>
      <c r="B767" s="236"/>
      <c r="C767" s="236"/>
      <c r="D767" s="236"/>
      <c r="E767" s="76"/>
    </row>
    <row r="768" spans="1:5" s="13" customFormat="1" hidden="1" x14ac:dyDescent="0.3">
      <c r="A768" s="159"/>
      <c r="B768" s="236"/>
      <c r="C768" s="236"/>
      <c r="D768" s="236"/>
      <c r="E768" s="76"/>
    </row>
    <row r="769" spans="1:5" s="13" customFormat="1" hidden="1" x14ac:dyDescent="0.3">
      <c r="A769" s="159"/>
      <c r="B769" s="236"/>
      <c r="C769" s="236"/>
      <c r="D769" s="236"/>
      <c r="E769" s="76"/>
    </row>
    <row r="770" spans="1:5" s="13" customFormat="1" hidden="1" x14ac:dyDescent="0.3">
      <c r="A770" s="159"/>
      <c r="B770" s="236"/>
      <c r="C770" s="236"/>
      <c r="D770" s="236"/>
      <c r="E770" s="76"/>
    </row>
    <row r="771" spans="1:5" s="13" customFormat="1" hidden="1" x14ac:dyDescent="0.3">
      <c r="A771" s="159"/>
      <c r="B771" s="236"/>
      <c r="C771" s="236"/>
      <c r="D771" s="236"/>
      <c r="E771" s="76"/>
    </row>
    <row r="772" spans="1:5" s="13" customFormat="1" hidden="1" x14ac:dyDescent="0.3">
      <c r="A772" s="159"/>
      <c r="B772" s="236"/>
      <c r="C772" s="236"/>
      <c r="D772" s="236"/>
      <c r="E772" s="76"/>
    </row>
    <row r="773" spans="1:5" s="13" customFormat="1" hidden="1" x14ac:dyDescent="0.3">
      <c r="A773" s="159"/>
      <c r="B773" s="236"/>
      <c r="C773" s="236"/>
      <c r="D773" s="236"/>
      <c r="E773" s="76"/>
    </row>
    <row r="774" spans="1:5" s="13" customFormat="1" hidden="1" x14ac:dyDescent="0.3">
      <c r="A774" s="159"/>
      <c r="B774" s="236"/>
      <c r="C774" s="236"/>
      <c r="D774" s="236"/>
      <c r="E774" s="76"/>
    </row>
    <row r="775" spans="1:5" s="13" customFormat="1" hidden="1" x14ac:dyDescent="0.3">
      <c r="A775" s="159"/>
      <c r="B775" s="236"/>
      <c r="C775" s="236"/>
      <c r="D775" s="236"/>
      <c r="E775" s="76"/>
    </row>
    <row r="776" spans="1:5" s="13" customFormat="1" hidden="1" x14ac:dyDescent="0.3">
      <c r="A776" s="159"/>
      <c r="B776" s="236"/>
      <c r="C776" s="236"/>
      <c r="D776" s="236"/>
      <c r="E776" s="76"/>
    </row>
    <row r="777" spans="1:5" s="13" customFormat="1" hidden="1" x14ac:dyDescent="0.3">
      <c r="A777" s="159"/>
      <c r="B777" s="236"/>
      <c r="C777" s="236"/>
      <c r="D777" s="236"/>
      <c r="E777" s="76"/>
    </row>
    <row r="778" spans="1:5" s="13" customFormat="1" hidden="1" x14ac:dyDescent="0.3">
      <c r="A778" s="159"/>
      <c r="B778" s="236"/>
      <c r="C778" s="236"/>
      <c r="D778" s="236"/>
      <c r="E778" s="76"/>
    </row>
    <row r="779" spans="1:5" s="13" customFormat="1" hidden="1" x14ac:dyDescent="0.3">
      <c r="A779" s="159"/>
      <c r="B779" s="236"/>
      <c r="C779" s="236"/>
      <c r="D779" s="236"/>
      <c r="E779" s="76"/>
    </row>
    <row r="780" spans="1:5" s="13" customFormat="1" hidden="1" x14ac:dyDescent="0.3">
      <c r="A780" s="159"/>
      <c r="B780" s="236"/>
      <c r="C780" s="236"/>
      <c r="D780" s="236"/>
      <c r="E780" s="76"/>
    </row>
    <row r="781" spans="1:5" s="13" customFormat="1" hidden="1" x14ac:dyDescent="0.3">
      <c r="A781" s="159"/>
      <c r="B781" s="236"/>
      <c r="C781" s="236"/>
      <c r="D781" s="236"/>
      <c r="E781" s="76"/>
    </row>
    <row r="782" spans="1:5" s="13" customFormat="1" hidden="1" x14ac:dyDescent="0.3">
      <c r="A782" s="159"/>
      <c r="B782" s="236"/>
      <c r="C782" s="236"/>
      <c r="D782" s="236"/>
      <c r="E782" s="76"/>
    </row>
    <row r="783" spans="1:5" s="13" customFormat="1" hidden="1" x14ac:dyDescent="0.3">
      <c r="A783" s="159"/>
      <c r="B783" s="236"/>
      <c r="C783" s="236"/>
      <c r="D783" s="236"/>
      <c r="E783" s="76"/>
    </row>
    <row r="784" spans="1:5" s="13" customFormat="1" hidden="1" x14ac:dyDescent="0.3">
      <c r="A784" s="159"/>
      <c r="B784" s="236"/>
      <c r="C784" s="236"/>
      <c r="D784" s="236"/>
      <c r="E784" s="76"/>
    </row>
    <row r="785" spans="1:5" s="13" customFormat="1" hidden="1" x14ac:dyDescent="0.3">
      <c r="A785" s="159"/>
      <c r="B785" s="236"/>
      <c r="C785" s="236"/>
      <c r="D785" s="236"/>
      <c r="E785" s="76"/>
    </row>
    <row r="786" spans="1:5" s="13" customFormat="1" hidden="1" x14ac:dyDescent="0.3">
      <c r="A786" s="159"/>
      <c r="B786" s="236"/>
      <c r="C786" s="236"/>
      <c r="D786" s="236"/>
      <c r="E786" s="76"/>
    </row>
    <row r="787" spans="1:5" s="13" customFormat="1" hidden="1" x14ac:dyDescent="0.3">
      <c r="A787" s="159"/>
      <c r="B787" s="236"/>
      <c r="C787" s="236"/>
      <c r="D787" s="236"/>
      <c r="E787" s="76"/>
    </row>
    <row r="788" spans="1:5" s="13" customFormat="1" hidden="1" x14ac:dyDescent="0.3">
      <c r="A788" s="159"/>
      <c r="B788" s="236"/>
      <c r="C788" s="236"/>
      <c r="D788" s="236"/>
      <c r="E788" s="76"/>
    </row>
    <row r="789" spans="1:5" s="13" customFormat="1" hidden="1" x14ac:dyDescent="0.3">
      <c r="A789" s="159"/>
      <c r="B789" s="236"/>
      <c r="C789" s="236"/>
      <c r="D789" s="236"/>
      <c r="E789" s="76"/>
    </row>
    <row r="790" spans="1:5" s="13" customFormat="1" hidden="1" x14ac:dyDescent="0.3">
      <c r="A790" s="159"/>
      <c r="B790" s="236"/>
      <c r="C790" s="236"/>
      <c r="D790" s="236"/>
      <c r="E790" s="76"/>
    </row>
    <row r="791" spans="1:5" s="13" customFormat="1" hidden="1" x14ac:dyDescent="0.3">
      <c r="A791" s="159"/>
      <c r="B791" s="236"/>
      <c r="C791" s="236"/>
      <c r="D791" s="236"/>
      <c r="E791" s="76"/>
    </row>
    <row r="792" spans="1:5" s="13" customFormat="1" hidden="1" x14ac:dyDescent="0.3">
      <c r="A792" s="159"/>
      <c r="B792" s="236"/>
      <c r="C792" s="236"/>
      <c r="D792" s="236"/>
      <c r="E792" s="76"/>
    </row>
    <row r="793" spans="1:5" s="13" customFormat="1" hidden="1" x14ac:dyDescent="0.3">
      <c r="A793" s="159"/>
      <c r="B793" s="236"/>
      <c r="C793" s="236"/>
      <c r="D793" s="236"/>
      <c r="E793" s="76"/>
    </row>
    <row r="794" spans="1:5" s="13" customFormat="1" hidden="1" x14ac:dyDescent="0.3">
      <c r="A794" s="159"/>
      <c r="B794" s="236"/>
      <c r="C794" s="236"/>
      <c r="D794" s="236"/>
      <c r="E794" s="76"/>
    </row>
    <row r="795" spans="1:5" s="13" customFormat="1" hidden="1" x14ac:dyDescent="0.3">
      <c r="A795" s="159"/>
      <c r="B795" s="236"/>
      <c r="C795" s="236"/>
      <c r="D795" s="236"/>
      <c r="E795" s="76"/>
    </row>
    <row r="796" spans="1:5" s="13" customFormat="1" hidden="1" x14ac:dyDescent="0.3">
      <c r="A796" s="159"/>
      <c r="B796" s="236"/>
      <c r="C796" s="236"/>
      <c r="D796" s="236"/>
      <c r="E796" s="76"/>
    </row>
    <row r="797" spans="1:5" s="13" customFormat="1" hidden="1" x14ac:dyDescent="0.3">
      <c r="A797" s="159"/>
      <c r="B797" s="236"/>
      <c r="C797" s="236"/>
      <c r="D797" s="236"/>
      <c r="E797" s="76"/>
    </row>
    <row r="798" spans="1:5" s="13" customFormat="1" hidden="1" x14ac:dyDescent="0.3">
      <c r="A798" s="159"/>
      <c r="B798" s="236"/>
      <c r="C798" s="236"/>
      <c r="D798" s="236"/>
      <c r="E798" s="76"/>
    </row>
    <row r="799" spans="1:5" s="13" customFormat="1" hidden="1" x14ac:dyDescent="0.3">
      <c r="A799" s="159"/>
      <c r="B799" s="236"/>
      <c r="C799" s="236"/>
      <c r="D799" s="236"/>
      <c r="E799" s="76"/>
    </row>
    <row r="800" spans="1:5" s="13" customFormat="1" hidden="1" x14ac:dyDescent="0.3">
      <c r="A800" s="159"/>
      <c r="B800" s="236"/>
      <c r="C800" s="236"/>
      <c r="D800" s="236"/>
      <c r="E800" s="76"/>
    </row>
    <row r="801" spans="1:5" s="13" customFormat="1" hidden="1" x14ac:dyDescent="0.3">
      <c r="A801" s="159"/>
      <c r="B801" s="236"/>
      <c r="C801" s="236"/>
      <c r="D801" s="236"/>
      <c r="E801" s="76"/>
    </row>
  </sheetData>
  <autoFilter ref="A1:F794">
    <filterColumn colId="5">
      <customFilters and="1">
        <customFilter operator="greaterThan" val="0"/>
      </customFilters>
    </filterColumn>
  </autoFilter>
  <mergeCells count="67">
    <mergeCell ref="A723:A733"/>
    <mergeCell ref="A657:A667"/>
    <mergeCell ref="A668:A678"/>
    <mergeCell ref="A679:A689"/>
    <mergeCell ref="A690:A700"/>
    <mergeCell ref="A701:A711"/>
    <mergeCell ref="A712:A722"/>
    <mergeCell ref="A591:A601"/>
    <mergeCell ref="A602:A612"/>
    <mergeCell ref="A613:A623"/>
    <mergeCell ref="A624:A634"/>
    <mergeCell ref="A635:A645"/>
    <mergeCell ref="A646:A656"/>
    <mergeCell ref="A525:A535"/>
    <mergeCell ref="A536:A546"/>
    <mergeCell ref="A547:A557"/>
    <mergeCell ref="A558:A568"/>
    <mergeCell ref="A569:A579"/>
    <mergeCell ref="A580:A590"/>
    <mergeCell ref="A459:A469"/>
    <mergeCell ref="A470:A480"/>
    <mergeCell ref="A481:A491"/>
    <mergeCell ref="A492:A502"/>
    <mergeCell ref="A503:A513"/>
    <mergeCell ref="A514:A524"/>
    <mergeCell ref="A393:A403"/>
    <mergeCell ref="A404:A414"/>
    <mergeCell ref="A415:A425"/>
    <mergeCell ref="A426:A436"/>
    <mergeCell ref="A437:A447"/>
    <mergeCell ref="A448:A458"/>
    <mergeCell ref="A328:A338"/>
    <mergeCell ref="A339:A349"/>
    <mergeCell ref="A350:A360"/>
    <mergeCell ref="A361:A370"/>
    <mergeCell ref="A371:A381"/>
    <mergeCell ref="A382:A392"/>
    <mergeCell ref="A262:A272"/>
    <mergeCell ref="A273:A283"/>
    <mergeCell ref="A284:A294"/>
    <mergeCell ref="A295:A305"/>
    <mergeCell ref="A306:A316"/>
    <mergeCell ref="A317:A327"/>
    <mergeCell ref="A196:A206"/>
    <mergeCell ref="A207:A217"/>
    <mergeCell ref="A218:A228"/>
    <mergeCell ref="A229:A239"/>
    <mergeCell ref="A240:A250"/>
    <mergeCell ref="A251:A261"/>
    <mergeCell ref="A130:A140"/>
    <mergeCell ref="A141:A151"/>
    <mergeCell ref="A152:A162"/>
    <mergeCell ref="A163:A173"/>
    <mergeCell ref="A174:A184"/>
    <mergeCell ref="A185:A195"/>
    <mergeCell ref="A65:A74"/>
    <mergeCell ref="A75:A85"/>
    <mergeCell ref="A86:A96"/>
    <mergeCell ref="A97:A107"/>
    <mergeCell ref="A108:A118"/>
    <mergeCell ref="A119:A129"/>
    <mergeCell ref="A4:E4"/>
    <mergeCell ref="A10:A20"/>
    <mergeCell ref="A21:A31"/>
    <mergeCell ref="A32:A42"/>
    <mergeCell ref="A43:A53"/>
    <mergeCell ref="A54:A64"/>
  </mergeCells>
  <printOptions horizontalCentered="1"/>
  <pageMargins left="0.39370078740157483" right="0" top="7.874015748031496E-2" bottom="0" header="0" footer="0"/>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N803"/>
  <sheetViews>
    <sheetView view="pageBreakPreview" zoomScale="75" zoomScaleNormal="65" zoomScaleSheetLayoutView="75" workbookViewId="0">
      <pane xSplit="2" ySplit="9" topLeftCell="C10" activePane="bottomRight" state="frozen"/>
      <selection pane="topRight" activeCell="C1" sqref="C1"/>
      <selection pane="bottomLeft" activeCell="A8" sqref="A8"/>
      <selection pane="bottomRight" activeCell="F1" sqref="F1:P65536"/>
    </sheetView>
  </sheetViews>
  <sheetFormatPr defaultRowHeight="18.75" x14ac:dyDescent="0.3"/>
  <cols>
    <col min="1" max="1" width="27.7109375" style="1539" customWidth="1"/>
    <col min="2" max="2" width="52.140625" style="1541" customWidth="1"/>
    <col min="3" max="3" width="27.7109375" style="1541" customWidth="1"/>
    <col min="4" max="4" width="15.5703125" style="1541" customWidth="1"/>
    <col min="5" max="5" width="17" style="503" customWidth="1"/>
    <col min="6" max="6" width="27.7109375" style="1523" hidden="1" customWidth="1"/>
    <col min="7" max="16" width="0" style="1523" hidden="1" customWidth="1"/>
    <col min="17" max="16384" width="9.140625" style="1523"/>
  </cols>
  <sheetData>
    <row r="1" spans="1:40" s="1605" customFormat="1" ht="20.25" customHeight="1" x14ac:dyDescent="0.3">
      <c r="A1" s="1596"/>
      <c r="B1" s="1603"/>
      <c r="C1" s="1603"/>
      <c r="D1" s="502" t="s">
        <v>1462</v>
      </c>
      <c r="E1" s="503"/>
      <c r="F1" s="1604">
        <v>1</v>
      </c>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c r="AM1" s="1604"/>
      <c r="AN1" s="1604"/>
    </row>
    <row r="2" spans="1:40" s="1605" customFormat="1" ht="18" customHeight="1" x14ac:dyDescent="0.3">
      <c r="A2" s="1515"/>
      <c r="B2" s="1606"/>
      <c r="C2" s="1606"/>
      <c r="D2" s="502" t="s">
        <v>274</v>
      </c>
      <c r="E2" s="503"/>
      <c r="F2" s="1604">
        <v>1</v>
      </c>
      <c r="G2" s="1604"/>
      <c r="H2" s="1604"/>
      <c r="I2" s="1607"/>
      <c r="J2" s="1604"/>
      <c r="K2" s="1604"/>
      <c r="L2" s="1604"/>
      <c r="M2" s="1604"/>
      <c r="N2" s="1604"/>
      <c r="O2" s="1604"/>
      <c r="P2" s="1604"/>
      <c r="Q2" s="1604"/>
      <c r="R2" s="1604"/>
      <c r="S2" s="1604"/>
      <c r="T2" s="1604"/>
      <c r="U2" s="1604"/>
      <c r="V2" s="1604"/>
      <c r="W2" s="1604"/>
      <c r="X2" s="1604"/>
      <c r="Y2" s="1604"/>
      <c r="Z2" s="1604"/>
      <c r="AA2" s="1604"/>
      <c r="AB2" s="1604"/>
      <c r="AC2" s="1604"/>
      <c r="AD2" s="1604"/>
      <c r="AE2" s="1604"/>
      <c r="AF2" s="1604"/>
      <c r="AG2" s="1604"/>
      <c r="AH2" s="1604"/>
      <c r="AI2" s="1604"/>
      <c r="AJ2" s="1604"/>
      <c r="AK2" s="1604"/>
      <c r="AL2" s="1604"/>
      <c r="AM2" s="1604"/>
      <c r="AN2" s="1604"/>
    </row>
    <row r="3" spans="1:40" s="1605" customFormat="1" ht="18" customHeight="1" x14ac:dyDescent="0.3">
      <c r="A3" s="1515"/>
      <c r="B3" s="1606"/>
      <c r="C3" s="1606"/>
      <c r="D3" s="502" t="s">
        <v>835</v>
      </c>
      <c r="E3" s="503"/>
      <c r="F3" s="1604">
        <v>1</v>
      </c>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c r="AD3" s="1604"/>
      <c r="AE3" s="1604"/>
      <c r="AF3" s="1604"/>
      <c r="AG3" s="1604"/>
      <c r="AH3" s="1604"/>
      <c r="AI3" s="1604"/>
      <c r="AJ3" s="1604"/>
      <c r="AK3" s="1604"/>
      <c r="AL3" s="1604"/>
      <c r="AM3" s="1604"/>
      <c r="AN3" s="1604"/>
    </row>
    <row r="4" spans="1:40" s="1605" customFormat="1" ht="63.75" customHeight="1" x14ac:dyDescent="0.3">
      <c r="A4" s="1677" t="s">
        <v>1428</v>
      </c>
      <c r="B4" s="1677"/>
      <c r="C4" s="1677"/>
      <c r="D4" s="1677"/>
      <c r="E4" s="1678"/>
      <c r="F4" s="1604">
        <v>1</v>
      </c>
      <c r="G4" s="1604"/>
      <c r="H4" s="1604"/>
      <c r="I4" s="1604"/>
      <c r="J4" s="1604"/>
      <c r="K4" s="1604"/>
      <c r="L4" s="1604"/>
      <c r="M4" s="1604"/>
      <c r="N4" s="1604"/>
      <c r="O4" s="1604"/>
      <c r="P4" s="1604"/>
      <c r="Q4" s="1604"/>
      <c r="R4" s="1604"/>
      <c r="S4" s="1604"/>
      <c r="T4" s="1604"/>
      <c r="U4" s="1604"/>
      <c r="V4" s="1604"/>
      <c r="W4" s="1604"/>
      <c r="X4" s="1604"/>
      <c r="Y4" s="1604"/>
      <c r="Z4" s="1604"/>
      <c r="AA4" s="1604"/>
      <c r="AB4" s="1604"/>
      <c r="AC4" s="1604"/>
      <c r="AD4" s="1604"/>
      <c r="AE4" s="1604"/>
      <c r="AF4" s="1604"/>
      <c r="AG4" s="1604"/>
      <c r="AH4" s="1604"/>
      <c r="AI4" s="1604"/>
      <c r="AJ4" s="1604"/>
      <c r="AK4" s="1604"/>
      <c r="AL4" s="1604"/>
      <c r="AM4" s="1604"/>
      <c r="AN4" s="1604"/>
    </row>
    <row r="5" spans="1:40" s="1605" customFormat="1" x14ac:dyDescent="0.3">
      <c r="A5" s="1517" t="s">
        <v>858</v>
      </c>
      <c r="B5" s="1608"/>
      <c r="C5" s="1608"/>
      <c r="D5" s="1608"/>
      <c r="E5" s="1609"/>
      <c r="F5" s="1604">
        <v>1</v>
      </c>
      <c r="G5" s="1604"/>
      <c r="H5" s="1604"/>
      <c r="I5" s="1604"/>
      <c r="J5" s="1604"/>
      <c r="K5" s="1604"/>
      <c r="L5" s="1604"/>
      <c r="M5" s="1604"/>
      <c r="N5" s="1604"/>
      <c r="O5" s="1604"/>
      <c r="P5" s="1604"/>
      <c r="Q5" s="1604"/>
      <c r="R5" s="1604"/>
      <c r="S5" s="1604"/>
      <c r="T5" s="1604"/>
      <c r="U5" s="1604"/>
      <c r="V5" s="1604"/>
      <c r="W5" s="1604"/>
      <c r="X5" s="1604"/>
      <c r="Y5" s="1604"/>
      <c r="Z5" s="1604"/>
      <c r="AA5" s="1604"/>
      <c r="AB5" s="1604"/>
      <c r="AC5" s="1604"/>
      <c r="AD5" s="1604"/>
      <c r="AE5" s="1604"/>
      <c r="AF5" s="1604"/>
      <c r="AG5" s="1604"/>
      <c r="AH5" s="1604"/>
      <c r="AI5" s="1604"/>
      <c r="AJ5" s="1604"/>
      <c r="AK5" s="1604"/>
      <c r="AL5" s="1604"/>
      <c r="AM5" s="1604"/>
      <c r="AN5" s="1604"/>
    </row>
    <row r="6" spans="1:40" s="1605" customFormat="1" x14ac:dyDescent="0.3">
      <c r="A6" s="1519" t="s">
        <v>856</v>
      </c>
      <c r="B6" s="1608"/>
      <c r="C6" s="1608"/>
      <c r="D6" s="1608"/>
      <c r="E6" s="1609"/>
      <c r="F6" s="1604">
        <v>1</v>
      </c>
      <c r="G6" s="1604"/>
      <c r="H6" s="1604"/>
      <c r="I6" s="1604"/>
      <c r="J6" s="1604"/>
      <c r="K6" s="1604"/>
      <c r="L6" s="1604"/>
      <c r="M6" s="1604"/>
      <c r="N6" s="1604"/>
      <c r="O6" s="1604"/>
      <c r="P6" s="1604"/>
      <c r="Q6" s="1604"/>
      <c r="R6" s="1604"/>
      <c r="S6" s="1604"/>
      <c r="T6" s="1604"/>
      <c r="U6" s="1604"/>
      <c r="V6" s="1604"/>
      <c r="W6" s="1604"/>
      <c r="X6" s="1604"/>
      <c r="Y6" s="1604"/>
      <c r="Z6" s="1604"/>
      <c r="AA6" s="1604"/>
      <c r="AB6" s="1604"/>
      <c r="AC6" s="1604"/>
      <c r="AD6" s="1604"/>
      <c r="AE6" s="1604"/>
      <c r="AF6" s="1604"/>
      <c r="AG6" s="1604"/>
      <c r="AH6" s="1604"/>
      <c r="AI6" s="1604"/>
      <c r="AJ6" s="1604"/>
      <c r="AK6" s="1604"/>
      <c r="AL6" s="1604"/>
      <c r="AM6" s="1604"/>
      <c r="AN6" s="1604"/>
    </row>
    <row r="7" spans="1:40" ht="16.5" customHeight="1" x14ac:dyDescent="0.3">
      <c r="A7" s="1520"/>
      <c r="B7" s="1610"/>
      <c r="C7" s="1610"/>
      <c r="D7" s="1610"/>
      <c r="E7" s="1611" t="s">
        <v>737</v>
      </c>
      <c r="F7" s="1523">
        <v>1</v>
      </c>
    </row>
    <row r="8" spans="1:40" ht="54.75" customHeight="1" x14ac:dyDescent="0.3">
      <c r="A8" s="1599" t="s">
        <v>78</v>
      </c>
      <c r="B8" s="504" t="s">
        <v>69</v>
      </c>
      <c r="C8" s="504" t="s">
        <v>739</v>
      </c>
      <c r="D8" s="505" t="s">
        <v>53</v>
      </c>
      <c r="E8" s="505" t="s">
        <v>54</v>
      </c>
      <c r="F8" s="1523">
        <v>1</v>
      </c>
    </row>
    <row r="9" spans="1:40" ht="18" customHeight="1" x14ac:dyDescent="0.3">
      <c r="A9" s="814">
        <v>1</v>
      </c>
      <c r="B9" s="815">
        <v>2</v>
      </c>
      <c r="C9" s="815">
        <v>3</v>
      </c>
      <c r="D9" s="504">
        <v>4</v>
      </c>
      <c r="E9" s="505">
        <v>5</v>
      </c>
      <c r="F9" s="1523">
        <v>1</v>
      </c>
    </row>
    <row r="10" spans="1:40" ht="75" x14ac:dyDescent="0.3">
      <c r="A10" s="1669" t="s">
        <v>1955</v>
      </c>
      <c r="B10" s="1612" t="s">
        <v>1956</v>
      </c>
      <c r="C10" s="1613">
        <f>D10+E10</f>
        <v>10000</v>
      </c>
      <c r="D10" s="1613">
        <v>10000</v>
      </c>
      <c r="E10" s="1613"/>
      <c r="F10" s="1523">
        <f t="shared" ref="F10:F73" si="0">SUM(C10:E10)</f>
        <v>20000</v>
      </c>
    </row>
    <row r="11" spans="1:40" s="13" customFormat="1" hidden="1" x14ac:dyDescent="0.3">
      <c r="A11" s="1667"/>
      <c r="B11" s="306"/>
      <c r="C11" s="466">
        <f t="shared" ref="C11:C19" si="1">SUM(D11:E11)</f>
        <v>0</v>
      </c>
      <c r="D11" s="819"/>
      <c r="E11" s="820"/>
      <c r="F11" s="13">
        <f t="shared" si="0"/>
        <v>0</v>
      </c>
    </row>
    <row r="12" spans="1:40" s="13" customFormat="1" hidden="1" x14ac:dyDescent="0.3">
      <c r="A12" s="1667"/>
      <c r="B12" s="306"/>
      <c r="C12" s="466">
        <f t="shared" si="1"/>
        <v>0</v>
      </c>
      <c r="D12" s="819"/>
      <c r="E12" s="820"/>
      <c r="F12" s="13">
        <f t="shared" si="0"/>
        <v>0</v>
      </c>
    </row>
    <row r="13" spans="1:40" s="13" customFormat="1" hidden="1" x14ac:dyDescent="0.3">
      <c r="A13" s="1667"/>
      <c r="B13" s="306"/>
      <c r="C13" s="466">
        <f t="shared" si="1"/>
        <v>0</v>
      </c>
      <c r="D13" s="819"/>
      <c r="E13" s="820"/>
      <c r="F13" s="13">
        <f t="shared" si="0"/>
        <v>0</v>
      </c>
    </row>
    <row r="14" spans="1:40" s="13" customFormat="1" hidden="1" x14ac:dyDescent="0.3">
      <c r="A14" s="1667"/>
      <c r="B14" s="306"/>
      <c r="C14" s="466">
        <f t="shared" si="1"/>
        <v>0</v>
      </c>
      <c r="D14" s="819"/>
      <c r="E14" s="820"/>
      <c r="F14" s="13">
        <f t="shared" si="0"/>
        <v>0</v>
      </c>
    </row>
    <row r="15" spans="1:40" s="13" customFormat="1" hidden="1" x14ac:dyDescent="0.3">
      <c r="A15" s="1667"/>
      <c r="B15" s="306"/>
      <c r="C15" s="466">
        <f t="shared" si="1"/>
        <v>0</v>
      </c>
      <c r="D15" s="819"/>
      <c r="E15" s="820"/>
      <c r="F15" s="13">
        <f t="shared" si="0"/>
        <v>0</v>
      </c>
    </row>
    <row r="16" spans="1:40" s="13" customFormat="1" hidden="1" x14ac:dyDescent="0.3">
      <c r="A16" s="1667"/>
      <c r="B16" s="306"/>
      <c r="C16" s="466">
        <f t="shared" si="1"/>
        <v>0</v>
      </c>
      <c r="D16" s="819"/>
      <c r="E16" s="820"/>
      <c r="F16" s="13">
        <f t="shared" si="0"/>
        <v>0</v>
      </c>
    </row>
    <row r="17" spans="1:6" s="13" customFormat="1" hidden="1" x14ac:dyDescent="0.3">
      <c r="A17" s="1667"/>
      <c r="B17" s="306"/>
      <c r="C17" s="466">
        <f t="shared" si="1"/>
        <v>0</v>
      </c>
      <c r="D17" s="819"/>
      <c r="E17" s="820"/>
      <c r="F17" s="13">
        <f t="shared" si="0"/>
        <v>0</v>
      </c>
    </row>
    <row r="18" spans="1:6" s="13" customFormat="1" hidden="1" x14ac:dyDescent="0.3">
      <c r="A18" s="1667"/>
      <c r="B18" s="306"/>
      <c r="C18" s="466">
        <f t="shared" si="1"/>
        <v>0</v>
      </c>
      <c r="D18" s="819"/>
      <c r="E18" s="820"/>
      <c r="F18" s="13">
        <f t="shared" si="0"/>
        <v>0</v>
      </c>
    </row>
    <row r="19" spans="1:6" s="13" customFormat="1" hidden="1" x14ac:dyDescent="0.3">
      <c r="A19" s="1667"/>
      <c r="B19" s="306"/>
      <c r="C19" s="466">
        <f t="shared" si="1"/>
        <v>0</v>
      </c>
      <c r="D19" s="819"/>
      <c r="E19" s="820"/>
      <c r="F19" s="13">
        <f t="shared" si="0"/>
        <v>0</v>
      </c>
    </row>
    <row r="20" spans="1:6" x14ac:dyDescent="0.3">
      <c r="A20" s="1673"/>
      <c r="B20" s="1322" t="s">
        <v>740</v>
      </c>
      <c r="C20" s="1614">
        <f>SUM(C10:C19)</f>
        <v>10000</v>
      </c>
      <c r="D20" s="1614">
        <f>SUM(D10:D19)</f>
        <v>10000</v>
      </c>
      <c r="E20" s="1615">
        <f>SUM(E10:E19)</f>
        <v>0</v>
      </c>
      <c r="F20" s="1523">
        <f t="shared" si="0"/>
        <v>20000</v>
      </c>
    </row>
    <row r="21" spans="1:6" ht="56.25" x14ac:dyDescent="0.3">
      <c r="A21" s="1669" t="s">
        <v>1060</v>
      </c>
      <c r="B21" s="1612" t="s">
        <v>1872</v>
      </c>
      <c r="C21" s="1613">
        <f>D21+E21</f>
        <v>192000</v>
      </c>
      <c r="D21" s="1613"/>
      <c r="E21" s="1613">
        <v>192000</v>
      </c>
      <c r="F21" s="1523">
        <f t="shared" si="0"/>
        <v>384000</v>
      </c>
    </row>
    <row r="22" spans="1:6" s="13" customFormat="1" hidden="1" x14ac:dyDescent="0.3">
      <c r="A22" s="1667"/>
      <c r="B22" s="506"/>
      <c r="C22" s="466">
        <f t="shared" ref="C22:C30" si="2">SUM(D22:E22)</f>
        <v>0</v>
      </c>
      <c r="D22" s="565"/>
      <c r="E22" s="586"/>
      <c r="F22" s="13">
        <f t="shared" si="0"/>
        <v>0</v>
      </c>
    </row>
    <row r="23" spans="1:6" s="13" customFormat="1" hidden="1" x14ac:dyDescent="0.3">
      <c r="A23" s="1667"/>
      <c r="B23" s="306"/>
      <c r="C23" s="466">
        <f t="shared" si="2"/>
        <v>0</v>
      </c>
      <c r="D23" s="819"/>
      <c r="E23" s="820"/>
      <c r="F23" s="13">
        <f t="shared" si="0"/>
        <v>0</v>
      </c>
    </row>
    <row r="24" spans="1:6" s="13" customFormat="1" hidden="1" x14ac:dyDescent="0.3">
      <c r="A24" s="1667"/>
      <c r="B24" s="306"/>
      <c r="C24" s="466">
        <f t="shared" si="2"/>
        <v>0</v>
      </c>
      <c r="D24" s="819"/>
      <c r="E24" s="820"/>
      <c r="F24" s="13">
        <f t="shared" si="0"/>
        <v>0</v>
      </c>
    </row>
    <row r="25" spans="1:6" s="13" customFormat="1" hidden="1" x14ac:dyDescent="0.3">
      <c r="A25" s="1667"/>
      <c r="B25" s="306"/>
      <c r="C25" s="466">
        <f t="shared" si="2"/>
        <v>0</v>
      </c>
      <c r="D25" s="819"/>
      <c r="E25" s="820"/>
      <c r="F25" s="13">
        <f t="shared" si="0"/>
        <v>0</v>
      </c>
    </row>
    <row r="26" spans="1:6" s="13" customFormat="1" hidden="1" x14ac:dyDescent="0.3">
      <c r="A26" s="1667"/>
      <c r="B26" s="306"/>
      <c r="C26" s="466">
        <f t="shared" si="2"/>
        <v>0</v>
      </c>
      <c r="D26" s="819"/>
      <c r="E26" s="820"/>
      <c r="F26" s="13">
        <f t="shared" si="0"/>
        <v>0</v>
      </c>
    </row>
    <row r="27" spans="1:6" s="13" customFormat="1" hidden="1" x14ac:dyDescent="0.3">
      <c r="A27" s="1667"/>
      <c r="B27" s="306"/>
      <c r="C27" s="466">
        <f t="shared" si="2"/>
        <v>0</v>
      </c>
      <c r="D27" s="819"/>
      <c r="E27" s="820"/>
      <c r="F27" s="13">
        <f t="shared" si="0"/>
        <v>0</v>
      </c>
    </row>
    <row r="28" spans="1:6" s="13" customFormat="1" hidden="1" x14ac:dyDescent="0.3">
      <c r="A28" s="1667"/>
      <c r="B28" s="306"/>
      <c r="C28" s="466">
        <f t="shared" si="2"/>
        <v>0</v>
      </c>
      <c r="D28" s="819"/>
      <c r="E28" s="820"/>
      <c r="F28" s="13">
        <f t="shared" si="0"/>
        <v>0</v>
      </c>
    </row>
    <row r="29" spans="1:6" s="13" customFormat="1" hidden="1" x14ac:dyDescent="0.3">
      <c r="A29" s="1667"/>
      <c r="B29" s="306"/>
      <c r="C29" s="466">
        <f t="shared" si="2"/>
        <v>0</v>
      </c>
      <c r="D29" s="819"/>
      <c r="E29" s="820"/>
      <c r="F29" s="13">
        <f t="shared" si="0"/>
        <v>0</v>
      </c>
    </row>
    <row r="30" spans="1:6" s="13" customFormat="1" hidden="1" x14ac:dyDescent="0.3">
      <c r="A30" s="1667"/>
      <c r="B30" s="306"/>
      <c r="C30" s="466">
        <f t="shared" si="2"/>
        <v>0</v>
      </c>
      <c r="D30" s="819"/>
      <c r="E30" s="820"/>
      <c r="F30" s="13">
        <f t="shared" si="0"/>
        <v>0</v>
      </c>
    </row>
    <row r="31" spans="1:6" x14ac:dyDescent="0.3">
      <c r="A31" s="1673"/>
      <c r="B31" s="1322" t="s">
        <v>740</v>
      </c>
      <c r="C31" s="1614">
        <f>SUM(C21:C30)</f>
        <v>192000</v>
      </c>
      <c r="D31" s="1614">
        <f>SUM(D21:D30)</f>
        <v>0</v>
      </c>
      <c r="E31" s="1615">
        <f>SUM(E21:E30)</f>
        <v>192000</v>
      </c>
      <c r="F31" s="1523">
        <f t="shared" si="0"/>
        <v>384000</v>
      </c>
    </row>
    <row r="32" spans="1:6" x14ac:dyDescent="0.3">
      <c r="A32" s="1669" t="s">
        <v>1069</v>
      </c>
      <c r="B32" s="1612" t="s">
        <v>1863</v>
      </c>
      <c r="C32" s="1613">
        <f>D32+E32</f>
        <v>30000</v>
      </c>
      <c r="D32" s="1613"/>
      <c r="E32" s="1613">
        <v>30000</v>
      </c>
      <c r="F32" s="1523">
        <f t="shared" si="0"/>
        <v>60000</v>
      </c>
    </row>
    <row r="33" spans="1:6" s="13" customFormat="1" hidden="1" x14ac:dyDescent="0.3">
      <c r="A33" s="1667"/>
      <c r="B33" s="306"/>
      <c r="C33" s="466">
        <f t="shared" ref="C33:C41" si="3">SUM(D33:E33)</f>
        <v>0</v>
      </c>
      <c r="D33" s="819"/>
      <c r="E33" s="820"/>
      <c r="F33" s="13">
        <f t="shared" si="0"/>
        <v>0</v>
      </c>
    </row>
    <row r="34" spans="1:6" s="13" customFormat="1" hidden="1" x14ac:dyDescent="0.3">
      <c r="A34" s="1667"/>
      <c r="B34" s="306"/>
      <c r="C34" s="466">
        <f t="shared" si="3"/>
        <v>0</v>
      </c>
      <c r="D34" s="819"/>
      <c r="E34" s="820"/>
      <c r="F34" s="13">
        <f t="shared" si="0"/>
        <v>0</v>
      </c>
    </row>
    <row r="35" spans="1:6" s="13" customFormat="1" hidden="1" x14ac:dyDescent="0.3">
      <c r="A35" s="1667"/>
      <c r="B35" s="306"/>
      <c r="C35" s="466">
        <f t="shared" si="3"/>
        <v>0</v>
      </c>
      <c r="D35" s="819"/>
      <c r="E35" s="820"/>
      <c r="F35" s="13">
        <f t="shared" si="0"/>
        <v>0</v>
      </c>
    </row>
    <row r="36" spans="1:6" s="13" customFormat="1" hidden="1" x14ac:dyDescent="0.3">
      <c r="A36" s="1667"/>
      <c r="B36" s="306"/>
      <c r="C36" s="466">
        <f t="shared" si="3"/>
        <v>0</v>
      </c>
      <c r="D36" s="819"/>
      <c r="E36" s="820"/>
      <c r="F36" s="13">
        <f t="shared" si="0"/>
        <v>0</v>
      </c>
    </row>
    <row r="37" spans="1:6" s="13" customFormat="1" hidden="1" x14ac:dyDescent="0.3">
      <c r="A37" s="1667"/>
      <c r="B37" s="306"/>
      <c r="C37" s="466">
        <f t="shared" si="3"/>
        <v>0</v>
      </c>
      <c r="D37" s="819"/>
      <c r="E37" s="820"/>
      <c r="F37" s="13">
        <f t="shared" si="0"/>
        <v>0</v>
      </c>
    </row>
    <row r="38" spans="1:6" s="13" customFormat="1" hidden="1" x14ac:dyDescent="0.3">
      <c r="A38" s="1667"/>
      <c r="B38" s="306"/>
      <c r="C38" s="466">
        <f t="shared" si="3"/>
        <v>0</v>
      </c>
      <c r="D38" s="819"/>
      <c r="E38" s="820"/>
      <c r="F38" s="13">
        <f t="shared" si="0"/>
        <v>0</v>
      </c>
    </row>
    <row r="39" spans="1:6" s="13" customFormat="1" hidden="1" x14ac:dyDescent="0.3">
      <c r="A39" s="1667"/>
      <c r="B39" s="306"/>
      <c r="C39" s="466">
        <f t="shared" si="3"/>
        <v>0</v>
      </c>
      <c r="D39" s="819"/>
      <c r="E39" s="820"/>
      <c r="F39" s="13">
        <f t="shared" si="0"/>
        <v>0</v>
      </c>
    </row>
    <row r="40" spans="1:6" s="13" customFormat="1" hidden="1" x14ac:dyDescent="0.3">
      <c r="A40" s="1667"/>
      <c r="B40" s="306"/>
      <c r="C40" s="466">
        <f t="shared" si="3"/>
        <v>0</v>
      </c>
      <c r="D40" s="819"/>
      <c r="E40" s="820"/>
      <c r="F40" s="13">
        <f t="shared" si="0"/>
        <v>0</v>
      </c>
    </row>
    <row r="41" spans="1:6" s="13" customFormat="1" hidden="1" x14ac:dyDescent="0.3">
      <c r="A41" s="1667"/>
      <c r="B41" s="306"/>
      <c r="C41" s="466">
        <f t="shared" si="3"/>
        <v>0</v>
      </c>
      <c r="D41" s="819"/>
      <c r="E41" s="820"/>
      <c r="F41" s="13">
        <f t="shared" si="0"/>
        <v>0</v>
      </c>
    </row>
    <row r="42" spans="1:6" ht="64.150000000000006" customHeight="1" x14ac:dyDescent="0.3">
      <c r="A42" s="1673"/>
      <c r="B42" s="1322" t="s">
        <v>740</v>
      </c>
      <c r="C42" s="1614">
        <f>SUM(C32:C41)</f>
        <v>30000</v>
      </c>
      <c r="D42" s="1614">
        <f>SUM(D32:D41)</f>
        <v>0</v>
      </c>
      <c r="E42" s="1615">
        <f>SUM(E32:E41)</f>
        <v>30000</v>
      </c>
      <c r="F42" s="1523">
        <f t="shared" si="0"/>
        <v>60000</v>
      </c>
    </row>
    <row r="43" spans="1:6" ht="37.5" x14ac:dyDescent="0.3">
      <c r="A43" s="1669" t="s">
        <v>1070</v>
      </c>
      <c r="B43" s="1612" t="s">
        <v>1914</v>
      </c>
      <c r="C43" s="1613">
        <f>D43+E43</f>
        <v>84000</v>
      </c>
      <c r="D43" s="1613"/>
      <c r="E43" s="1613">
        <v>84000</v>
      </c>
      <c r="F43" s="1523">
        <f t="shared" si="0"/>
        <v>168000</v>
      </c>
    </row>
    <row r="44" spans="1:6" s="13" customFormat="1" hidden="1" x14ac:dyDescent="0.3">
      <c r="A44" s="1667"/>
      <c r="B44" s="306"/>
      <c r="C44" s="466">
        <f t="shared" ref="C44:C52" si="4">SUM(D44:E44)</f>
        <v>0</v>
      </c>
      <c r="D44" s="819"/>
      <c r="E44" s="820"/>
      <c r="F44" s="13">
        <f t="shared" si="0"/>
        <v>0</v>
      </c>
    </row>
    <row r="45" spans="1:6" s="13" customFormat="1" hidden="1" x14ac:dyDescent="0.3">
      <c r="A45" s="1667"/>
      <c r="B45" s="306"/>
      <c r="C45" s="466">
        <f t="shared" si="4"/>
        <v>0</v>
      </c>
      <c r="D45" s="819"/>
      <c r="E45" s="820"/>
      <c r="F45" s="13">
        <f t="shared" si="0"/>
        <v>0</v>
      </c>
    </row>
    <row r="46" spans="1:6" s="13" customFormat="1" hidden="1" x14ac:dyDescent="0.3">
      <c r="A46" s="1667"/>
      <c r="B46" s="306"/>
      <c r="C46" s="466">
        <f t="shared" si="4"/>
        <v>0</v>
      </c>
      <c r="D46" s="819"/>
      <c r="E46" s="820"/>
      <c r="F46" s="13">
        <f t="shared" si="0"/>
        <v>0</v>
      </c>
    </row>
    <row r="47" spans="1:6" s="13" customFormat="1" hidden="1" x14ac:dyDescent="0.3">
      <c r="A47" s="1667"/>
      <c r="B47" s="306"/>
      <c r="C47" s="466">
        <f t="shared" si="4"/>
        <v>0</v>
      </c>
      <c r="D47" s="819"/>
      <c r="E47" s="820"/>
      <c r="F47" s="13">
        <f t="shared" si="0"/>
        <v>0</v>
      </c>
    </row>
    <row r="48" spans="1:6" s="13" customFormat="1" hidden="1" x14ac:dyDescent="0.3">
      <c r="A48" s="1667"/>
      <c r="B48" s="306"/>
      <c r="C48" s="466">
        <f t="shared" si="4"/>
        <v>0</v>
      </c>
      <c r="D48" s="819"/>
      <c r="E48" s="820"/>
      <c r="F48" s="13">
        <f t="shared" si="0"/>
        <v>0</v>
      </c>
    </row>
    <row r="49" spans="1:6" s="13" customFormat="1" hidden="1" x14ac:dyDescent="0.3">
      <c r="A49" s="1667"/>
      <c r="B49" s="306"/>
      <c r="C49" s="466">
        <f t="shared" si="4"/>
        <v>0</v>
      </c>
      <c r="D49" s="819"/>
      <c r="E49" s="820"/>
      <c r="F49" s="13">
        <f t="shared" si="0"/>
        <v>0</v>
      </c>
    </row>
    <row r="50" spans="1:6" s="13" customFormat="1" hidden="1" x14ac:dyDescent="0.3">
      <c r="A50" s="1667"/>
      <c r="B50" s="306"/>
      <c r="C50" s="466">
        <f t="shared" si="4"/>
        <v>0</v>
      </c>
      <c r="D50" s="819"/>
      <c r="E50" s="820"/>
      <c r="F50" s="13">
        <f t="shared" si="0"/>
        <v>0</v>
      </c>
    </row>
    <row r="51" spans="1:6" s="13" customFormat="1" hidden="1" x14ac:dyDescent="0.3">
      <c r="A51" s="1667"/>
      <c r="B51" s="306"/>
      <c r="C51" s="466">
        <f t="shared" si="4"/>
        <v>0</v>
      </c>
      <c r="D51" s="819"/>
      <c r="E51" s="820"/>
      <c r="F51" s="13">
        <f t="shared" si="0"/>
        <v>0</v>
      </c>
    </row>
    <row r="52" spans="1:6" s="13" customFormat="1" hidden="1" x14ac:dyDescent="0.3">
      <c r="A52" s="1667"/>
      <c r="B52" s="306"/>
      <c r="C52" s="466">
        <f t="shared" si="4"/>
        <v>0</v>
      </c>
      <c r="D52" s="819"/>
      <c r="E52" s="820"/>
      <c r="F52" s="13">
        <f t="shared" si="0"/>
        <v>0</v>
      </c>
    </row>
    <row r="53" spans="1:6" ht="63.6" customHeight="1" x14ac:dyDescent="0.3">
      <c r="A53" s="1673"/>
      <c r="B53" s="1322" t="s">
        <v>740</v>
      </c>
      <c r="C53" s="1614">
        <f>SUM(C43:C52)</f>
        <v>84000</v>
      </c>
      <c r="D53" s="1614">
        <f>SUM(D43:D52)</f>
        <v>0</v>
      </c>
      <c r="E53" s="1615">
        <f>SUM(E43:E52)</f>
        <v>84000</v>
      </c>
      <c r="F53" s="1523">
        <f t="shared" si="0"/>
        <v>168000</v>
      </c>
    </row>
    <row r="54" spans="1:6" ht="225" x14ac:dyDescent="0.3">
      <c r="A54" s="1669" t="s">
        <v>1071</v>
      </c>
      <c r="B54" s="1612" t="s">
        <v>1964</v>
      </c>
      <c r="C54" s="1613">
        <f>D54+E54</f>
        <v>166750</v>
      </c>
      <c r="D54" s="1613"/>
      <c r="E54" s="1613">
        <v>166750</v>
      </c>
      <c r="F54" s="1523">
        <f t="shared" si="0"/>
        <v>333500</v>
      </c>
    </row>
    <row r="55" spans="1:6" s="13" customFormat="1" hidden="1" x14ac:dyDescent="0.3">
      <c r="A55" s="1667"/>
      <c r="B55" s="306"/>
      <c r="C55" s="466">
        <f t="shared" ref="C55:C63" si="5">SUM(D55:E55)</f>
        <v>0</v>
      </c>
      <c r="D55" s="819"/>
      <c r="E55" s="820"/>
      <c r="F55" s="13">
        <f t="shared" si="0"/>
        <v>0</v>
      </c>
    </row>
    <row r="56" spans="1:6" s="13" customFormat="1" hidden="1" x14ac:dyDescent="0.3">
      <c r="A56" s="1667"/>
      <c r="B56" s="306"/>
      <c r="C56" s="466">
        <f t="shared" si="5"/>
        <v>0</v>
      </c>
      <c r="D56" s="819"/>
      <c r="E56" s="820"/>
      <c r="F56" s="13">
        <f t="shared" si="0"/>
        <v>0</v>
      </c>
    </row>
    <row r="57" spans="1:6" s="13" customFormat="1" hidden="1" x14ac:dyDescent="0.3">
      <c r="A57" s="1667"/>
      <c r="B57" s="306"/>
      <c r="C57" s="466">
        <f t="shared" si="5"/>
        <v>0</v>
      </c>
      <c r="D57" s="819"/>
      <c r="E57" s="820"/>
      <c r="F57" s="13">
        <f t="shared" si="0"/>
        <v>0</v>
      </c>
    </row>
    <row r="58" spans="1:6" s="13" customFormat="1" hidden="1" x14ac:dyDescent="0.3">
      <c r="A58" s="1667"/>
      <c r="B58" s="306"/>
      <c r="C58" s="466">
        <f t="shared" si="5"/>
        <v>0</v>
      </c>
      <c r="D58" s="819"/>
      <c r="E58" s="820"/>
      <c r="F58" s="13">
        <f t="shared" si="0"/>
        <v>0</v>
      </c>
    </row>
    <row r="59" spans="1:6" s="13" customFormat="1" hidden="1" x14ac:dyDescent="0.3">
      <c r="A59" s="1667"/>
      <c r="B59" s="306"/>
      <c r="C59" s="466">
        <f t="shared" si="5"/>
        <v>0</v>
      </c>
      <c r="D59" s="819"/>
      <c r="E59" s="820"/>
      <c r="F59" s="13">
        <f t="shared" si="0"/>
        <v>0</v>
      </c>
    </row>
    <row r="60" spans="1:6" s="13" customFormat="1" hidden="1" x14ac:dyDescent="0.3">
      <c r="A60" s="1667"/>
      <c r="B60" s="306"/>
      <c r="C60" s="466">
        <f t="shared" si="5"/>
        <v>0</v>
      </c>
      <c r="D60" s="819"/>
      <c r="E60" s="820"/>
      <c r="F60" s="13">
        <f t="shared" si="0"/>
        <v>0</v>
      </c>
    </row>
    <row r="61" spans="1:6" s="13" customFormat="1" hidden="1" x14ac:dyDescent="0.3">
      <c r="A61" s="1667"/>
      <c r="B61" s="306"/>
      <c r="C61" s="466">
        <f t="shared" si="5"/>
        <v>0</v>
      </c>
      <c r="D61" s="819"/>
      <c r="E61" s="820"/>
      <c r="F61" s="13">
        <f t="shared" si="0"/>
        <v>0</v>
      </c>
    </row>
    <row r="62" spans="1:6" s="13" customFormat="1" hidden="1" x14ac:dyDescent="0.3">
      <c r="A62" s="1667"/>
      <c r="B62" s="306"/>
      <c r="C62" s="466">
        <f t="shared" si="5"/>
        <v>0</v>
      </c>
      <c r="D62" s="819"/>
      <c r="E62" s="820"/>
      <c r="F62" s="13">
        <f t="shared" si="0"/>
        <v>0</v>
      </c>
    </row>
    <row r="63" spans="1:6" s="13" customFormat="1" hidden="1" x14ac:dyDescent="0.3">
      <c r="A63" s="1667"/>
      <c r="B63" s="306"/>
      <c r="C63" s="466">
        <f t="shared" si="5"/>
        <v>0</v>
      </c>
      <c r="D63" s="819"/>
      <c r="E63" s="820"/>
      <c r="F63" s="13">
        <f t="shared" si="0"/>
        <v>0</v>
      </c>
    </row>
    <row r="64" spans="1:6" x14ac:dyDescent="0.3">
      <c r="A64" s="1673"/>
      <c r="B64" s="1322" t="s">
        <v>740</v>
      </c>
      <c r="C64" s="1614">
        <f>SUM(C54:C63)</f>
        <v>166750</v>
      </c>
      <c r="D64" s="1614">
        <f>SUM(D54:D63)</f>
        <v>0</v>
      </c>
      <c r="E64" s="1615">
        <f>SUM(E54:E63)</f>
        <v>166750</v>
      </c>
      <c r="F64" s="1523">
        <f t="shared" si="0"/>
        <v>333500</v>
      </c>
    </row>
    <row r="65" spans="1:6" ht="183" customHeight="1" x14ac:dyDescent="0.3">
      <c r="A65" s="1669" t="s">
        <v>1072</v>
      </c>
      <c r="B65" s="1612" t="s">
        <v>1921</v>
      </c>
      <c r="C65" s="1613">
        <f>D65+E65</f>
        <v>72000</v>
      </c>
      <c r="D65" s="1613"/>
      <c r="E65" s="1613">
        <v>72000</v>
      </c>
      <c r="F65" s="1523">
        <f t="shared" si="0"/>
        <v>144000</v>
      </c>
    </row>
    <row r="66" spans="1:6" s="13" customFormat="1" hidden="1" x14ac:dyDescent="0.3">
      <c r="A66" s="1667"/>
      <c r="B66" s="306"/>
      <c r="C66" s="466">
        <f t="shared" ref="C66:C74" si="6">SUM(D66:E66)</f>
        <v>0</v>
      </c>
      <c r="D66" s="819"/>
      <c r="E66" s="820"/>
      <c r="F66" s="13">
        <f t="shared" si="0"/>
        <v>0</v>
      </c>
    </row>
    <row r="67" spans="1:6" s="13" customFormat="1" hidden="1" x14ac:dyDescent="0.3">
      <c r="A67" s="1667"/>
      <c r="B67" s="306"/>
      <c r="C67" s="466">
        <f t="shared" si="6"/>
        <v>0</v>
      </c>
      <c r="D67" s="819"/>
      <c r="E67" s="820"/>
      <c r="F67" s="13">
        <f t="shared" si="0"/>
        <v>0</v>
      </c>
    </row>
    <row r="68" spans="1:6" s="13" customFormat="1" hidden="1" x14ac:dyDescent="0.3">
      <c r="A68" s="1667"/>
      <c r="B68" s="306"/>
      <c r="C68" s="466">
        <f t="shared" si="6"/>
        <v>0</v>
      </c>
      <c r="D68" s="819"/>
      <c r="E68" s="820"/>
      <c r="F68" s="13">
        <f t="shared" si="0"/>
        <v>0</v>
      </c>
    </row>
    <row r="69" spans="1:6" s="13" customFormat="1" hidden="1" x14ac:dyDescent="0.3">
      <c r="A69" s="1667"/>
      <c r="B69" s="306"/>
      <c r="C69" s="466">
        <f t="shared" si="6"/>
        <v>0</v>
      </c>
      <c r="D69" s="819"/>
      <c r="E69" s="820"/>
      <c r="F69" s="13">
        <f t="shared" si="0"/>
        <v>0</v>
      </c>
    </row>
    <row r="70" spans="1:6" s="13" customFormat="1" hidden="1" x14ac:dyDescent="0.3">
      <c r="A70" s="1667"/>
      <c r="B70" s="306"/>
      <c r="C70" s="466">
        <f t="shared" si="6"/>
        <v>0</v>
      </c>
      <c r="D70" s="819"/>
      <c r="E70" s="820"/>
      <c r="F70" s="13">
        <f t="shared" si="0"/>
        <v>0</v>
      </c>
    </row>
    <row r="71" spans="1:6" s="13" customFormat="1" hidden="1" x14ac:dyDescent="0.3">
      <c r="A71" s="1667"/>
      <c r="B71" s="306"/>
      <c r="C71" s="466">
        <f t="shared" si="6"/>
        <v>0</v>
      </c>
      <c r="D71" s="819"/>
      <c r="E71" s="820"/>
      <c r="F71" s="13">
        <f t="shared" si="0"/>
        <v>0</v>
      </c>
    </row>
    <row r="72" spans="1:6" s="13" customFormat="1" hidden="1" x14ac:dyDescent="0.3">
      <c r="A72" s="1667"/>
      <c r="B72" s="306"/>
      <c r="C72" s="466">
        <f t="shared" si="6"/>
        <v>0</v>
      </c>
      <c r="D72" s="819"/>
      <c r="E72" s="820"/>
      <c r="F72" s="13">
        <f t="shared" si="0"/>
        <v>0</v>
      </c>
    </row>
    <row r="73" spans="1:6" s="13" customFormat="1" hidden="1" x14ac:dyDescent="0.3">
      <c r="A73" s="1667"/>
      <c r="B73" s="306"/>
      <c r="C73" s="466">
        <f t="shared" si="6"/>
        <v>0</v>
      </c>
      <c r="D73" s="819"/>
      <c r="E73" s="820"/>
      <c r="F73" s="13">
        <f t="shared" si="0"/>
        <v>0</v>
      </c>
    </row>
    <row r="74" spans="1:6" s="13" customFormat="1" hidden="1" x14ac:dyDescent="0.3">
      <c r="A74" s="1667"/>
      <c r="B74" s="306"/>
      <c r="C74" s="466">
        <f t="shared" si="6"/>
        <v>0</v>
      </c>
      <c r="D74" s="819"/>
      <c r="E74" s="820"/>
      <c r="F74" s="13">
        <f t="shared" ref="F74:F137" si="7">SUM(C74:E74)</f>
        <v>0</v>
      </c>
    </row>
    <row r="75" spans="1:6" x14ac:dyDescent="0.3">
      <c r="A75" s="1673"/>
      <c r="B75" s="1322" t="s">
        <v>740</v>
      </c>
      <c r="C75" s="1614">
        <f>SUM(C65:C74)</f>
        <v>72000</v>
      </c>
      <c r="D75" s="1614">
        <f>SUM(D65:D74)</f>
        <v>0</v>
      </c>
      <c r="E75" s="1615">
        <f>SUM(E65:E74)</f>
        <v>72000</v>
      </c>
      <c r="F75" s="1523">
        <f t="shared" si="7"/>
        <v>144000</v>
      </c>
    </row>
    <row r="76" spans="1:6" ht="187.5" x14ac:dyDescent="0.3">
      <c r="A76" s="1669" t="s">
        <v>1073</v>
      </c>
      <c r="B76" s="1612" t="s">
        <v>2327</v>
      </c>
      <c r="C76" s="1613">
        <f>D76+E76</f>
        <v>179760</v>
      </c>
      <c r="D76" s="1613"/>
      <c r="E76" s="1613">
        <v>179760</v>
      </c>
      <c r="F76" s="1523">
        <f t="shared" si="7"/>
        <v>359520</v>
      </c>
    </row>
    <row r="77" spans="1:6" s="13" customFormat="1" hidden="1" x14ac:dyDescent="0.3">
      <c r="A77" s="1667"/>
      <c r="B77" s="306"/>
      <c r="C77" s="466">
        <f t="shared" ref="C77:C85" si="8">SUM(D77:E77)</f>
        <v>0</v>
      </c>
      <c r="D77" s="819"/>
      <c r="E77" s="820"/>
      <c r="F77" s="13">
        <f t="shared" si="7"/>
        <v>0</v>
      </c>
    </row>
    <row r="78" spans="1:6" s="13" customFormat="1" hidden="1" x14ac:dyDescent="0.3">
      <c r="A78" s="1667"/>
      <c r="B78" s="306"/>
      <c r="C78" s="466">
        <f t="shared" si="8"/>
        <v>0</v>
      </c>
      <c r="D78" s="819"/>
      <c r="E78" s="820"/>
      <c r="F78" s="13">
        <f t="shared" si="7"/>
        <v>0</v>
      </c>
    </row>
    <row r="79" spans="1:6" s="13" customFormat="1" hidden="1" x14ac:dyDescent="0.3">
      <c r="A79" s="1667"/>
      <c r="B79" s="306"/>
      <c r="C79" s="466">
        <f t="shared" si="8"/>
        <v>0</v>
      </c>
      <c r="D79" s="819"/>
      <c r="E79" s="820"/>
      <c r="F79" s="13">
        <f t="shared" si="7"/>
        <v>0</v>
      </c>
    </row>
    <row r="80" spans="1:6" s="13" customFormat="1" hidden="1" x14ac:dyDescent="0.3">
      <c r="A80" s="1667"/>
      <c r="B80" s="306"/>
      <c r="C80" s="466">
        <f t="shared" si="8"/>
        <v>0</v>
      </c>
      <c r="D80" s="819"/>
      <c r="E80" s="820"/>
      <c r="F80" s="13">
        <f t="shared" si="7"/>
        <v>0</v>
      </c>
    </row>
    <row r="81" spans="1:6" s="13" customFormat="1" hidden="1" x14ac:dyDescent="0.3">
      <c r="A81" s="1667"/>
      <c r="B81" s="306"/>
      <c r="C81" s="466">
        <f t="shared" si="8"/>
        <v>0</v>
      </c>
      <c r="D81" s="819"/>
      <c r="E81" s="820"/>
      <c r="F81" s="13">
        <f t="shared" si="7"/>
        <v>0</v>
      </c>
    </row>
    <row r="82" spans="1:6" s="13" customFormat="1" hidden="1" x14ac:dyDescent="0.3">
      <c r="A82" s="1667"/>
      <c r="B82" s="306"/>
      <c r="C82" s="466">
        <f t="shared" si="8"/>
        <v>0</v>
      </c>
      <c r="D82" s="819"/>
      <c r="E82" s="820"/>
      <c r="F82" s="13">
        <f t="shared" si="7"/>
        <v>0</v>
      </c>
    </row>
    <row r="83" spans="1:6" s="13" customFormat="1" hidden="1" x14ac:dyDescent="0.3">
      <c r="A83" s="1667"/>
      <c r="B83" s="306"/>
      <c r="C83" s="466">
        <f t="shared" si="8"/>
        <v>0</v>
      </c>
      <c r="D83" s="819"/>
      <c r="E83" s="820"/>
      <c r="F83" s="13">
        <f t="shared" si="7"/>
        <v>0</v>
      </c>
    </row>
    <row r="84" spans="1:6" s="13" customFormat="1" hidden="1" x14ac:dyDescent="0.3">
      <c r="A84" s="1667"/>
      <c r="B84" s="306"/>
      <c r="C84" s="466">
        <f t="shared" si="8"/>
        <v>0</v>
      </c>
      <c r="D84" s="819"/>
      <c r="E84" s="820"/>
      <c r="F84" s="13">
        <f t="shared" si="7"/>
        <v>0</v>
      </c>
    </row>
    <row r="85" spans="1:6" s="13" customFormat="1" hidden="1" x14ac:dyDescent="0.3">
      <c r="A85" s="1667"/>
      <c r="B85" s="306"/>
      <c r="C85" s="466">
        <f t="shared" si="8"/>
        <v>0</v>
      </c>
      <c r="D85" s="819"/>
      <c r="E85" s="820"/>
      <c r="F85" s="13">
        <f t="shared" si="7"/>
        <v>0</v>
      </c>
    </row>
    <row r="86" spans="1:6" x14ac:dyDescent="0.3">
      <c r="A86" s="1673"/>
      <c r="B86" s="1322" t="s">
        <v>740</v>
      </c>
      <c r="C86" s="1614">
        <f>SUM(C76:C85)</f>
        <v>179760</v>
      </c>
      <c r="D86" s="1614">
        <f>SUM(D76:D85)</f>
        <v>0</v>
      </c>
      <c r="E86" s="1615">
        <f>SUM(E76:E85)</f>
        <v>179760</v>
      </c>
      <c r="F86" s="1523">
        <f t="shared" si="7"/>
        <v>359520</v>
      </c>
    </row>
    <row r="87" spans="1:6" x14ac:dyDescent="0.3">
      <c r="A87" s="1669" t="s">
        <v>1074</v>
      </c>
      <c r="B87" s="1612" t="s">
        <v>2330</v>
      </c>
      <c r="C87" s="1613">
        <f>D87+E87</f>
        <v>41681</v>
      </c>
      <c r="D87" s="1613"/>
      <c r="E87" s="1613">
        <v>41681</v>
      </c>
      <c r="F87" s="1523">
        <f t="shared" si="7"/>
        <v>83362</v>
      </c>
    </row>
    <row r="88" spans="1:6" s="13" customFormat="1" hidden="1" x14ac:dyDescent="0.3">
      <c r="A88" s="1667"/>
      <c r="B88" s="306"/>
      <c r="C88" s="466">
        <f t="shared" ref="C88:C96" si="9">SUM(D88:E88)</f>
        <v>0</v>
      </c>
      <c r="D88" s="819"/>
      <c r="E88" s="820"/>
      <c r="F88" s="13">
        <f t="shared" si="7"/>
        <v>0</v>
      </c>
    </row>
    <row r="89" spans="1:6" s="13" customFormat="1" hidden="1" x14ac:dyDescent="0.3">
      <c r="A89" s="1667"/>
      <c r="B89" s="306"/>
      <c r="C89" s="466">
        <f t="shared" si="9"/>
        <v>0</v>
      </c>
      <c r="D89" s="819"/>
      <c r="E89" s="820"/>
      <c r="F89" s="13">
        <f t="shared" si="7"/>
        <v>0</v>
      </c>
    </row>
    <row r="90" spans="1:6" s="13" customFormat="1" hidden="1" x14ac:dyDescent="0.3">
      <c r="A90" s="1667"/>
      <c r="B90" s="306"/>
      <c r="C90" s="466">
        <f t="shared" si="9"/>
        <v>0</v>
      </c>
      <c r="D90" s="819"/>
      <c r="E90" s="820"/>
      <c r="F90" s="13">
        <f t="shared" si="7"/>
        <v>0</v>
      </c>
    </row>
    <row r="91" spans="1:6" s="13" customFormat="1" hidden="1" x14ac:dyDescent="0.3">
      <c r="A91" s="1667"/>
      <c r="B91" s="306"/>
      <c r="C91" s="466">
        <f t="shared" si="9"/>
        <v>0</v>
      </c>
      <c r="D91" s="819"/>
      <c r="E91" s="820"/>
      <c r="F91" s="13">
        <f t="shared" si="7"/>
        <v>0</v>
      </c>
    </row>
    <row r="92" spans="1:6" s="13" customFormat="1" hidden="1" x14ac:dyDescent="0.3">
      <c r="A92" s="1667"/>
      <c r="B92" s="306"/>
      <c r="C92" s="466">
        <f t="shared" si="9"/>
        <v>0</v>
      </c>
      <c r="D92" s="819"/>
      <c r="E92" s="820"/>
      <c r="F92" s="13">
        <f t="shared" si="7"/>
        <v>0</v>
      </c>
    </row>
    <row r="93" spans="1:6" s="13" customFormat="1" hidden="1" x14ac:dyDescent="0.3">
      <c r="A93" s="1667"/>
      <c r="B93" s="306"/>
      <c r="C93" s="466">
        <f t="shared" si="9"/>
        <v>0</v>
      </c>
      <c r="D93" s="819"/>
      <c r="E93" s="820"/>
      <c r="F93" s="13">
        <f t="shared" si="7"/>
        <v>0</v>
      </c>
    </row>
    <row r="94" spans="1:6" s="13" customFormat="1" hidden="1" x14ac:dyDescent="0.3">
      <c r="A94" s="1667"/>
      <c r="B94" s="306"/>
      <c r="C94" s="466">
        <f t="shared" si="9"/>
        <v>0</v>
      </c>
      <c r="D94" s="819"/>
      <c r="E94" s="820"/>
      <c r="F94" s="13">
        <f t="shared" si="7"/>
        <v>0</v>
      </c>
    </row>
    <row r="95" spans="1:6" s="13" customFormat="1" hidden="1" x14ac:dyDescent="0.3">
      <c r="A95" s="1667"/>
      <c r="B95" s="306"/>
      <c r="C95" s="466">
        <f t="shared" si="9"/>
        <v>0</v>
      </c>
      <c r="D95" s="819"/>
      <c r="E95" s="820"/>
      <c r="F95" s="13">
        <f t="shared" si="7"/>
        <v>0</v>
      </c>
    </row>
    <row r="96" spans="1:6" s="13" customFormat="1" hidden="1" x14ac:dyDescent="0.3">
      <c r="A96" s="1667"/>
      <c r="B96" s="306"/>
      <c r="C96" s="466">
        <f t="shared" si="9"/>
        <v>0</v>
      </c>
      <c r="D96" s="819"/>
      <c r="E96" s="820"/>
      <c r="F96" s="13">
        <f t="shared" si="7"/>
        <v>0</v>
      </c>
    </row>
    <row r="97" spans="1:6" ht="61.15" customHeight="1" x14ac:dyDescent="0.3">
      <c r="A97" s="1673"/>
      <c r="B97" s="1322" t="s">
        <v>740</v>
      </c>
      <c r="C97" s="1614">
        <f>SUM(C87:C96)</f>
        <v>41681</v>
      </c>
      <c r="D97" s="1614">
        <f>SUM(D87:D96)</f>
        <v>0</v>
      </c>
      <c r="E97" s="1615">
        <f>SUM(E87:E96)</f>
        <v>41681</v>
      </c>
      <c r="F97" s="1523">
        <f t="shared" si="7"/>
        <v>83362</v>
      </c>
    </row>
    <row r="98" spans="1:6" ht="150" x14ac:dyDescent="0.3">
      <c r="A98" s="1669" t="s">
        <v>1075</v>
      </c>
      <c r="B98" s="1612" t="s">
        <v>1879</v>
      </c>
      <c r="C98" s="1613">
        <f>D98+E98</f>
        <v>84000</v>
      </c>
      <c r="D98" s="1613"/>
      <c r="E98" s="1613">
        <v>84000</v>
      </c>
      <c r="F98" s="1523">
        <f t="shared" si="7"/>
        <v>168000</v>
      </c>
    </row>
    <row r="99" spans="1:6" s="13" customFormat="1" hidden="1" x14ac:dyDescent="0.3">
      <c r="A99" s="1667"/>
      <c r="B99" s="306"/>
      <c r="C99" s="466">
        <f t="shared" ref="C99:C107" si="10">SUM(D99:E99)</f>
        <v>0</v>
      </c>
      <c r="D99" s="819"/>
      <c r="E99" s="820"/>
      <c r="F99" s="13">
        <f t="shared" si="7"/>
        <v>0</v>
      </c>
    </row>
    <row r="100" spans="1:6" s="13" customFormat="1" hidden="1" x14ac:dyDescent="0.3">
      <c r="A100" s="1667"/>
      <c r="B100" s="306"/>
      <c r="C100" s="466">
        <f t="shared" si="10"/>
        <v>0</v>
      </c>
      <c r="D100" s="819"/>
      <c r="E100" s="820"/>
      <c r="F100" s="13">
        <f t="shared" si="7"/>
        <v>0</v>
      </c>
    </row>
    <row r="101" spans="1:6" s="13" customFormat="1" hidden="1" x14ac:dyDescent="0.3">
      <c r="A101" s="1667"/>
      <c r="B101" s="306"/>
      <c r="C101" s="466">
        <f t="shared" si="10"/>
        <v>0</v>
      </c>
      <c r="D101" s="819"/>
      <c r="E101" s="820"/>
      <c r="F101" s="13">
        <f t="shared" si="7"/>
        <v>0</v>
      </c>
    </row>
    <row r="102" spans="1:6" s="13" customFormat="1" hidden="1" x14ac:dyDescent="0.3">
      <c r="A102" s="1667"/>
      <c r="B102" s="306"/>
      <c r="C102" s="466">
        <f t="shared" si="10"/>
        <v>0</v>
      </c>
      <c r="D102" s="819"/>
      <c r="E102" s="820"/>
      <c r="F102" s="13">
        <f t="shared" si="7"/>
        <v>0</v>
      </c>
    </row>
    <row r="103" spans="1:6" s="13" customFormat="1" hidden="1" x14ac:dyDescent="0.3">
      <c r="A103" s="1667"/>
      <c r="B103" s="306"/>
      <c r="C103" s="466">
        <f t="shared" si="10"/>
        <v>0</v>
      </c>
      <c r="D103" s="819"/>
      <c r="E103" s="820"/>
      <c r="F103" s="13">
        <f t="shared" si="7"/>
        <v>0</v>
      </c>
    </row>
    <row r="104" spans="1:6" s="13" customFormat="1" hidden="1" x14ac:dyDescent="0.3">
      <c r="A104" s="1667"/>
      <c r="B104" s="306"/>
      <c r="C104" s="466">
        <f t="shared" si="10"/>
        <v>0</v>
      </c>
      <c r="D104" s="819"/>
      <c r="E104" s="820"/>
      <c r="F104" s="13">
        <f t="shared" si="7"/>
        <v>0</v>
      </c>
    </row>
    <row r="105" spans="1:6" s="13" customFormat="1" hidden="1" x14ac:dyDescent="0.3">
      <c r="A105" s="1667"/>
      <c r="B105" s="306"/>
      <c r="C105" s="466">
        <f t="shared" si="10"/>
        <v>0</v>
      </c>
      <c r="D105" s="819"/>
      <c r="E105" s="820"/>
      <c r="F105" s="13">
        <f t="shared" si="7"/>
        <v>0</v>
      </c>
    </row>
    <row r="106" spans="1:6" s="13" customFormat="1" hidden="1" x14ac:dyDescent="0.3">
      <c r="A106" s="1667"/>
      <c r="B106" s="306"/>
      <c r="C106" s="466">
        <f t="shared" si="10"/>
        <v>0</v>
      </c>
      <c r="D106" s="819"/>
      <c r="E106" s="820"/>
      <c r="F106" s="13">
        <f t="shared" si="7"/>
        <v>0</v>
      </c>
    </row>
    <row r="107" spans="1:6" s="13" customFormat="1" hidden="1" x14ac:dyDescent="0.3">
      <c r="A107" s="1667"/>
      <c r="B107" s="306"/>
      <c r="C107" s="466">
        <f t="shared" si="10"/>
        <v>0</v>
      </c>
      <c r="D107" s="819"/>
      <c r="E107" s="820"/>
      <c r="F107" s="13">
        <f t="shared" si="7"/>
        <v>0</v>
      </c>
    </row>
    <row r="108" spans="1:6" x14ac:dyDescent="0.3">
      <c r="A108" s="1673"/>
      <c r="B108" s="1322" t="s">
        <v>740</v>
      </c>
      <c r="C108" s="1614">
        <f>SUM(C98:C107)</f>
        <v>84000</v>
      </c>
      <c r="D108" s="1614">
        <f>SUM(D98:D107)</f>
        <v>0</v>
      </c>
      <c r="E108" s="1615">
        <f>SUM(E98:E107)</f>
        <v>84000</v>
      </c>
      <c r="F108" s="1523">
        <f t="shared" si="7"/>
        <v>168000</v>
      </c>
    </row>
    <row r="109" spans="1:6" ht="93.75" x14ac:dyDescent="0.3">
      <c r="A109" s="1669" t="s">
        <v>1076</v>
      </c>
      <c r="B109" s="1612" t="s">
        <v>1862</v>
      </c>
      <c r="C109" s="1613">
        <f>D109+E109</f>
        <v>108000</v>
      </c>
      <c r="D109" s="1613"/>
      <c r="E109" s="1613">
        <v>108000</v>
      </c>
      <c r="F109" s="1523">
        <f t="shared" si="7"/>
        <v>216000</v>
      </c>
    </row>
    <row r="110" spans="1:6" ht="75" x14ac:dyDescent="0.3">
      <c r="A110" s="1667"/>
      <c r="B110" s="1612" t="s">
        <v>2331</v>
      </c>
      <c r="C110" s="1613">
        <f>D110+E110</f>
        <v>95370</v>
      </c>
      <c r="D110" s="1613"/>
      <c r="E110" s="1613">
        <v>95370</v>
      </c>
      <c r="F110" s="1523">
        <f t="shared" si="7"/>
        <v>190740</v>
      </c>
    </row>
    <row r="111" spans="1:6" s="13" customFormat="1" hidden="1" x14ac:dyDescent="0.3">
      <c r="A111" s="1667"/>
      <c r="B111" s="306"/>
      <c r="C111" s="466">
        <f t="shared" ref="C111:C118" si="11">SUM(D111:E111)</f>
        <v>0</v>
      </c>
      <c r="D111" s="819"/>
      <c r="E111" s="820"/>
      <c r="F111" s="13">
        <f t="shared" si="7"/>
        <v>0</v>
      </c>
    </row>
    <row r="112" spans="1:6" s="13" customFormat="1" hidden="1" x14ac:dyDescent="0.3">
      <c r="A112" s="1667"/>
      <c r="B112" s="306"/>
      <c r="C112" s="466">
        <f t="shared" si="11"/>
        <v>0</v>
      </c>
      <c r="D112" s="819"/>
      <c r="E112" s="820"/>
      <c r="F112" s="13">
        <f t="shared" si="7"/>
        <v>0</v>
      </c>
    </row>
    <row r="113" spans="1:6" s="13" customFormat="1" hidden="1" x14ac:dyDescent="0.3">
      <c r="A113" s="1667"/>
      <c r="B113" s="306"/>
      <c r="C113" s="466">
        <f t="shared" si="11"/>
        <v>0</v>
      </c>
      <c r="D113" s="819"/>
      <c r="E113" s="820"/>
      <c r="F113" s="13">
        <f t="shared" si="7"/>
        <v>0</v>
      </c>
    </row>
    <row r="114" spans="1:6" s="13" customFormat="1" hidden="1" x14ac:dyDescent="0.3">
      <c r="A114" s="1667"/>
      <c r="B114" s="306"/>
      <c r="C114" s="466">
        <f t="shared" si="11"/>
        <v>0</v>
      </c>
      <c r="D114" s="819"/>
      <c r="E114" s="820"/>
      <c r="F114" s="13">
        <f t="shared" si="7"/>
        <v>0</v>
      </c>
    </row>
    <row r="115" spans="1:6" s="13" customFormat="1" hidden="1" x14ac:dyDescent="0.3">
      <c r="A115" s="1667"/>
      <c r="B115" s="306"/>
      <c r="C115" s="466">
        <f t="shared" si="11"/>
        <v>0</v>
      </c>
      <c r="D115" s="819"/>
      <c r="E115" s="820"/>
      <c r="F115" s="13">
        <f t="shared" si="7"/>
        <v>0</v>
      </c>
    </row>
    <row r="116" spans="1:6" s="13" customFormat="1" hidden="1" x14ac:dyDescent="0.3">
      <c r="A116" s="1667"/>
      <c r="B116" s="306"/>
      <c r="C116" s="466">
        <f t="shared" si="11"/>
        <v>0</v>
      </c>
      <c r="D116" s="819"/>
      <c r="E116" s="820"/>
      <c r="F116" s="13">
        <f t="shared" si="7"/>
        <v>0</v>
      </c>
    </row>
    <row r="117" spans="1:6" s="13" customFormat="1" hidden="1" x14ac:dyDescent="0.3">
      <c r="A117" s="1667"/>
      <c r="B117" s="306"/>
      <c r="C117" s="466">
        <f t="shared" si="11"/>
        <v>0</v>
      </c>
      <c r="D117" s="819"/>
      <c r="E117" s="820"/>
      <c r="F117" s="13">
        <f t="shared" si="7"/>
        <v>0</v>
      </c>
    </row>
    <row r="118" spans="1:6" s="13" customFormat="1" hidden="1" x14ac:dyDescent="0.3">
      <c r="A118" s="1667"/>
      <c r="B118" s="306"/>
      <c r="C118" s="466">
        <f t="shared" si="11"/>
        <v>0</v>
      </c>
      <c r="D118" s="819"/>
      <c r="E118" s="820"/>
      <c r="F118" s="13">
        <f t="shared" si="7"/>
        <v>0</v>
      </c>
    </row>
    <row r="119" spans="1:6" x14ac:dyDescent="0.3">
      <c r="A119" s="1673"/>
      <c r="B119" s="1322" t="s">
        <v>740</v>
      </c>
      <c r="C119" s="1614">
        <f>SUM(C109:C118)</f>
        <v>203370</v>
      </c>
      <c r="D119" s="1614">
        <f>SUM(D109:D118)</f>
        <v>0</v>
      </c>
      <c r="E119" s="1615">
        <f>SUM(E109:E118)</f>
        <v>203370</v>
      </c>
      <c r="F119" s="1523">
        <f t="shared" si="7"/>
        <v>406740</v>
      </c>
    </row>
    <row r="120" spans="1:6" s="13" customFormat="1" hidden="1" x14ac:dyDescent="0.3">
      <c r="A120" s="1669" t="s">
        <v>1077</v>
      </c>
      <c r="B120" s="306"/>
      <c r="C120" s="466">
        <f>SUM(D120:E120)</f>
        <v>0</v>
      </c>
      <c r="D120" s="819"/>
      <c r="E120" s="820"/>
      <c r="F120" s="13">
        <f t="shared" si="7"/>
        <v>0</v>
      </c>
    </row>
    <row r="121" spans="1:6" s="13" customFormat="1" hidden="1" x14ac:dyDescent="0.3">
      <c r="A121" s="1667"/>
      <c r="B121" s="306"/>
      <c r="C121" s="466">
        <f t="shared" ref="C121:C129" si="12">SUM(D121:E121)</f>
        <v>0</v>
      </c>
      <c r="D121" s="819"/>
      <c r="E121" s="820"/>
      <c r="F121" s="13">
        <f t="shared" si="7"/>
        <v>0</v>
      </c>
    </row>
    <row r="122" spans="1:6" s="13" customFormat="1" hidden="1" x14ac:dyDescent="0.3">
      <c r="A122" s="1667"/>
      <c r="B122" s="306"/>
      <c r="C122" s="466">
        <f t="shared" si="12"/>
        <v>0</v>
      </c>
      <c r="D122" s="819"/>
      <c r="E122" s="820"/>
      <c r="F122" s="13">
        <f t="shared" si="7"/>
        <v>0</v>
      </c>
    </row>
    <row r="123" spans="1:6" s="13" customFormat="1" hidden="1" x14ac:dyDescent="0.3">
      <c r="A123" s="1667"/>
      <c r="B123" s="306"/>
      <c r="C123" s="466">
        <f t="shared" si="12"/>
        <v>0</v>
      </c>
      <c r="D123" s="819"/>
      <c r="E123" s="820"/>
      <c r="F123" s="13">
        <f t="shared" si="7"/>
        <v>0</v>
      </c>
    </row>
    <row r="124" spans="1:6" s="13" customFormat="1" hidden="1" x14ac:dyDescent="0.3">
      <c r="A124" s="1667"/>
      <c r="B124" s="306"/>
      <c r="C124" s="466">
        <f t="shared" si="12"/>
        <v>0</v>
      </c>
      <c r="D124" s="819"/>
      <c r="E124" s="820"/>
      <c r="F124" s="13">
        <f t="shared" si="7"/>
        <v>0</v>
      </c>
    </row>
    <row r="125" spans="1:6" s="13" customFormat="1" hidden="1" x14ac:dyDescent="0.3">
      <c r="A125" s="1667"/>
      <c r="B125" s="306"/>
      <c r="C125" s="466">
        <f t="shared" si="12"/>
        <v>0</v>
      </c>
      <c r="D125" s="819"/>
      <c r="E125" s="820"/>
      <c r="F125" s="13">
        <f t="shared" si="7"/>
        <v>0</v>
      </c>
    </row>
    <row r="126" spans="1:6" s="13" customFormat="1" hidden="1" x14ac:dyDescent="0.3">
      <c r="A126" s="1667"/>
      <c r="B126" s="306"/>
      <c r="C126" s="466">
        <f t="shared" si="12"/>
        <v>0</v>
      </c>
      <c r="D126" s="819"/>
      <c r="E126" s="820"/>
      <c r="F126" s="13">
        <f t="shared" si="7"/>
        <v>0</v>
      </c>
    </row>
    <row r="127" spans="1:6" s="13" customFormat="1" hidden="1" x14ac:dyDescent="0.3">
      <c r="A127" s="1667"/>
      <c r="B127" s="306"/>
      <c r="C127" s="466">
        <f t="shared" si="12"/>
        <v>0</v>
      </c>
      <c r="D127" s="819"/>
      <c r="E127" s="820"/>
      <c r="F127" s="13">
        <f t="shared" si="7"/>
        <v>0</v>
      </c>
    </row>
    <row r="128" spans="1:6" s="13" customFormat="1" hidden="1" x14ac:dyDescent="0.3">
      <c r="A128" s="1667"/>
      <c r="B128" s="306"/>
      <c r="C128" s="466">
        <f t="shared" si="12"/>
        <v>0</v>
      </c>
      <c r="D128" s="819"/>
      <c r="E128" s="820"/>
      <c r="F128" s="13">
        <f t="shared" si="7"/>
        <v>0</v>
      </c>
    </row>
    <row r="129" spans="1:6" s="13" customFormat="1" hidden="1" x14ac:dyDescent="0.3">
      <c r="A129" s="1667"/>
      <c r="B129" s="306"/>
      <c r="C129" s="466">
        <f t="shared" si="12"/>
        <v>0</v>
      </c>
      <c r="D129" s="819"/>
      <c r="E129" s="820"/>
      <c r="F129" s="13">
        <f t="shared" si="7"/>
        <v>0</v>
      </c>
    </row>
    <row r="130" spans="1:6" s="13" customFormat="1" hidden="1" x14ac:dyDescent="0.3">
      <c r="A130" s="1673"/>
      <c r="B130" s="306" t="s">
        <v>740</v>
      </c>
      <c r="C130" s="466">
        <f>SUM(C120:C129)</f>
        <v>0</v>
      </c>
      <c r="D130" s="466">
        <f>SUM(D120:D129)</f>
        <v>0</v>
      </c>
      <c r="E130" s="599">
        <f>SUM(E120:E129)</f>
        <v>0</v>
      </c>
      <c r="F130" s="13">
        <f t="shared" si="7"/>
        <v>0</v>
      </c>
    </row>
    <row r="131" spans="1:6" ht="56.25" x14ac:dyDescent="0.3">
      <c r="A131" s="1669" t="s">
        <v>1078</v>
      </c>
      <c r="B131" s="1612" t="s">
        <v>1810</v>
      </c>
      <c r="C131" s="1613">
        <f>D131+E131</f>
        <v>650000</v>
      </c>
      <c r="D131" s="1613"/>
      <c r="E131" s="1613">
        <f>400000+800000-550000</f>
        <v>650000</v>
      </c>
      <c r="F131" s="1523">
        <f t="shared" si="7"/>
        <v>1300000</v>
      </c>
    </row>
    <row r="132" spans="1:6" ht="168.75" x14ac:dyDescent="0.3">
      <c r="A132" s="1667"/>
      <c r="B132" s="1612" t="s">
        <v>2322</v>
      </c>
      <c r="C132" s="1613">
        <f>D132+E132</f>
        <v>95271</v>
      </c>
      <c r="D132" s="1613"/>
      <c r="E132" s="1613">
        <v>95271</v>
      </c>
      <c r="F132" s="1523">
        <f t="shared" si="7"/>
        <v>190542</v>
      </c>
    </row>
    <row r="133" spans="1:6" s="13" customFormat="1" hidden="1" x14ac:dyDescent="0.3">
      <c r="A133" s="1667"/>
      <c r="B133" s="306"/>
      <c r="C133" s="466">
        <f t="shared" ref="C133:C140" si="13">SUM(D133:E133)</f>
        <v>0</v>
      </c>
      <c r="D133" s="819"/>
      <c r="E133" s="820"/>
      <c r="F133" s="13">
        <f t="shared" si="7"/>
        <v>0</v>
      </c>
    </row>
    <row r="134" spans="1:6" s="13" customFormat="1" hidden="1" x14ac:dyDescent="0.3">
      <c r="A134" s="1667"/>
      <c r="B134" s="306"/>
      <c r="C134" s="466">
        <f t="shared" si="13"/>
        <v>0</v>
      </c>
      <c r="D134" s="819"/>
      <c r="E134" s="820"/>
      <c r="F134" s="13">
        <f t="shared" si="7"/>
        <v>0</v>
      </c>
    </row>
    <row r="135" spans="1:6" s="13" customFormat="1" hidden="1" x14ac:dyDescent="0.3">
      <c r="A135" s="1667"/>
      <c r="B135" s="306"/>
      <c r="C135" s="466">
        <f t="shared" si="13"/>
        <v>0</v>
      </c>
      <c r="D135" s="819"/>
      <c r="E135" s="820"/>
      <c r="F135" s="13">
        <f t="shared" si="7"/>
        <v>0</v>
      </c>
    </row>
    <row r="136" spans="1:6" s="13" customFormat="1" hidden="1" x14ac:dyDescent="0.3">
      <c r="A136" s="1667"/>
      <c r="B136" s="306"/>
      <c r="C136" s="466">
        <f t="shared" si="13"/>
        <v>0</v>
      </c>
      <c r="D136" s="819"/>
      <c r="E136" s="820"/>
      <c r="F136" s="13">
        <f t="shared" si="7"/>
        <v>0</v>
      </c>
    </row>
    <row r="137" spans="1:6" s="13" customFormat="1" hidden="1" x14ac:dyDescent="0.3">
      <c r="A137" s="1667"/>
      <c r="B137" s="306"/>
      <c r="C137" s="466">
        <f t="shared" si="13"/>
        <v>0</v>
      </c>
      <c r="D137" s="819"/>
      <c r="E137" s="820"/>
      <c r="F137" s="13">
        <f t="shared" si="7"/>
        <v>0</v>
      </c>
    </row>
    <row r="138" spans="1:6" s="13" customFormat="1" hidden="1" x14ac:dyDescent="0.3">
      <c r="A138" s="1667"/>
      <c r="B138" s="306"/>
      <c r="C138" s="466">
        <f t="shared" si="13"/>
        <v>0</v>
      </c>
      <c r="D138" s="819"/>
      <c r="E138" s="820"/>
      <c r="F138" s="13">
        <f t="shared" ref="F138:F201" si="14">SUM(C138:E138)</f>
        <v>0</v>
      </c>
    </row>
    <row r="139" spans="1:6" s="13" customFormat="1" hidden="1" x14ac:dyDescent="0.3">
      <c r="A139" s="1667"/>
      <c r="B139" s="306"/>
      <c r="C139" s="466">
        <f t="shared" si="13"/>
        <v>0</v>
      </c>
      <c r="D139" s="819"/>
      <c r="E139" s="820"/>
      <c r="F139" s="13">
        <f t="shared" si="14"/>
        <v>0</v>
      </c>
    </row>
    <row r="140" spans="1:6" s="13" customFormat="1" hidden="1" x14ac:dyDescent="0.3">
      <c r="A140" s="1667"/>
      <c r="B140" s="306"/>
      <c r="C140" s="466">
        <f t="shared" si="13"/>
        <v>0</v>
      </c>
      <c r="D140" s="819"/>
      <c r="E140" s="820"/>
      <c r="F140" s="13">
        <f t="shared" si="14"/>
        <v>0</v>
      </c>
    </row>
    <row r="141" spans="1:6" x14ac:dyDescent="0.3">
      <c r="A141" s="1673"/>
      <c r="B141" s="1322" t="s">
        <v>740</v>
      </c>
      <c r="C141" s="1614">
        <f>SUM(C131:C140)</f>
        <v>745271</v>
      </c>
      <c r="D141" s="1614">
        <f>SUM(D131:D140)</f>
        <v>0</v>
      </c>
      <c r="E141" s="1615">
        <f>SUM(E131:E140)</f>
        <v>745271</v>
      </c>
      <c r="F141" s="1523">
        <f t="shared" si="14"/>
        <v>1490542</v>
      </c>
    </row>
    <row r="142" spans="1:6" ht="75" x14ac:dyDescent="0.3">
      <c r="A142" s="1669" t="s">
        <v>1079</v>
      </c>
      <c r="B142" s="1612" t="s">
        <v>1843</v>
      </c>
      <c r="C142" s="1615">
        <f>D142+E142</f>
        <v>650000</v>
      </c>
      <c r="D142" s="1615"/>
      <c r="E142" s="1615">
        <v>650000</v>
      </c>
      <c r="F142" s="1523">
        <f t="shared" si="14"/>
        <v>1300000</v>
      </c>
    </row>
    <row r="143" spans="1:6" ht="37.5" x14ac:dyDescent="0.3">
      <c r="A143" s="1667"/>
      <c r="B143" s="1612" t="s">
        <v>1844</v>
      </c>
      <c r="C143" s="1615">
        <f>D143+E143</f>
        <v>557610</v>
      </c>
      <c r="D143" s="1615"/>
      <c r="E143" s="1615">
        <f>540000+17610</f>
        <v>557610</v>
      </c>
      <c r="F143" s="1523">
        <f t="shared" si="14"/>
        <v>1115220</v>
      </c>
    </row>
    <row r="144" spans="1:6" s="13" customFormat="1" hidden="1" x14ac:dyDescent="0.3">
      <c r="A144" s="1667"/>
      <c r="B144" s="306"/>
      <c r="C144" s="466">
        <f t="shared" ref="C144:C151" si="15">SUM(D144:E144)</f>
        <v>0</v>
      </c>
      <c r="D144" s="819"/>
      <c r="E144" s="820"/>
      <c r="F144" s="13">
        <f t="shared" si="14"/>
        <v>0</v>
      </c>
    </row>
    <row r="145" spans="1:6" s="13" customFormat="1" hidden="1" x14ac:dyDescent="0.3">
      <c r="A145" s="1667"/>
      <c r="B145" s="306"/>
      <c r="C145" s="466">
        <f t="shared" si="15"/>
        <v>0</v>
      </c>
      <c r="D145" s="819"/>
      <c r="E145" s="820"/>
      <c r="F145" s="13">
        <f t="shared" si="14"/>
        <v>0</v>
      </c>
    </row>
    <row r="146" spans="1:6" s="13" customFormat="1" hidden="1" x14ac:dyDescent="0.3">
      <c r="A146" s="1667"/>
      <c r="B146" s="306"/>
      <c r="C146" s="466">
        <f t="shared" si="15"/>
        <v>0</v>
      </c>
      <c r="D146" s="819"/>
      <c r="E146" s="820"/>
      <c r="F146" s="13">
        <f t="shared" si="14"/>
        <v>0</v>
      </c>
    </row>
    <row r="147" spans="1:6" s="13" customFormat="1" hidden="1" x14ac:dyDescent="0.3">
      <c r="A147" s="1667"/>
      <c r="B147" s="306"/>
      <c r="C147" s="466">
        <f t="shared" si="15"/>
        <v>0</v>
      </c>
      <c r="D147" s="819"/>
      <c r="E147" s="820"/>
      <c r="F147" s="13">
        <f t="shared" si="14"/>
        <v>0</v>
      </c>
    </row>
    <row r="148" spans="1:6" s="13" customFormat="1" hidden="1" x14ac:dyDescent="0.3">
      <c r="A148" s="1667"/>
      <c r="B148" s="306"/>
      <c r="C148" s="466">
        <f t="shared" si="15"/>
        <v>0</v>
      </c>
      <c r="D148" s="819"/>
      <c r="E148" s="820"/>
      <c r="F148" s="13">
        <f t="shared" si="14"/>
        <v>0</v>
      </c>
    </row>
    <row r="149" spans="1:6" s="13" customFormat="1" hidden="1" x14ac:dyDescent="0.3">
      <c r="A149" s="1667"/>
      <c r="B149" s="306"/>
      <c r="C149" s="466">
        <f t="shared" si="15"/>
        <v>0</v>
      </c>
      <c r="D149" s="819"/>
      <c r="E149" s="820"/>
      <c r="F149" s="13">
        <f t="shared" si="14"/>
        <v>0</v>
      </c>
    </row>
    <row r="150" spans="1:6" s="13" customFormat="1" hidden="1" x14ac:dyDescent="0.3">
      <c r="A150" s="1667"/>
      <c r="B150" s="306"/>
      <c r="C150" s="466">
        <f t="shared" si="15"/>
        <v>0</v>
      </c>
      <c r="D150" s="819"/>
      <c r="E150" s="820"/>
      <c r="F150" s="13">
        <f t="shared" si="14"/>
        <v>0</v>
      </c>
    </row>
    <row r="151" spans="1:6" s="13" customFormat="1" hidden="1" x14ac:dyDescent="0.3">
      <c r="A151" s="1667"/>
      <c r="B151" s="306"/>
      <c r="C151" s="466">
        <f t="shared" si="15"/>
        <v>0</v>
      </c>
      <c r="D151" s="819"/>
      <c r="E151" s="820"/>
      <c r="F151" s="13">
        <f t="shared" si="14"/>
        <v>0</v>
      </c>
    </row>
    <row r="152" spans="1:6" x14ac:dyDescent="0.3">
      <c r="A152" s="1673"/>
      <c r="B152" s="1322" t="s">
        <v>740</v>
      </c>
      <c r="C152" s="1614">
        <f>SUM(C142:C151)</f>
        <v>1207610</v>
      </c>
      <c r="D152" s="1614">
        <f>SUM(D142:D151)</f>
        <v>0</v>
      </c>
      <c r="E152" s="1615">
        <f>SUM(E142:E151)</f>
        <v>1207610</v>
      </c>
      <c r="F152" s="1523">
        <f t="shared" si="14"/>
        <v>2415220</v>
      </c>
    </row>
    <row r="153" spans="1:6" ht="56.25" x14ac:dyDescent="0.3">
      <c r="A153" s="1669" t="s">
        <v>1080</v>
      </c>
      <c r="B153" s="1612" t="s">
        <v>1873</v>
      </c>
      <c r="C153" s="1613">
        <f>D153+E153</f>
        <v>489000</v>
      </c>
      <c r="D153" s="1613"/>
      <c r="E153" s="1613">
        <f>360000+129000</f>
        <v>489000</v>
      </c>
      <c r="F153" s="1523">
        <f t="shared" si="14"/>
        <v>978000</v>
      </c>
    </row>
    <row r="154" spans="1:6" ht="56.25" x14ac:dyDescent="0.3">
      <c r="A154" s="1667"/>
      <c r="B154" s="1616" t="s">
        <v>1905</v>
      </c>
      <c r="C154" s="1613">
        <f>D154+E154</f>
        <v>492000</v>
      </c>
      <c r="D154" s="1613"/>
      <c r="E154" s="1613">
        <v>492000</v>
      </c>
      <c r="F154" s="1523">
        <f t="shared" si="14"/>
        <v>984000</v>
      </c>
    </row>
    <row r="155" spans="1:6" s="13" customFormat="1" hidden="1" x14ac:dyDescent="0.3">
      <c r="A155" s="1667"/>
      <c r="B155" s="306"/>
      <c r="C155" s="466">
        <f t="shared" ref="C155:C162" si="16">SUM(D155:E155)</f>
        <v>0</v>
      </c>
      <c r="D155" s="819"/>
      <c r="E155" s="820"/>
      <c r="F155" s="13">
        <f t="shared" si="14"/>
        <v>0</v>
      </c>
    </row>
    <row r="156" spans="1:6" s="13" customFormat="1" hidden="1" x14ac:dyDescent="0.3">
      <c r="A156" s="1667"/>
      <c r="B156" s="306"/>
      <c r="C156" s="466">
        <f t="shared" si="16"/>
        <v>0</v>
      </c>
      <c r="D156" s="819"/>
      <c r="E156" s="820"/>
      <c r="F156" s="13">
        <f t="shared" si="14"/>
        <v>0</v>
      </c>
    </row>
    <row r="157" spans="1:6" s="13" customFormat="1" hidden="1" x14ac:dyDescent="0.3">
      <c r="A157" s="1667"/>
      <c r="B157" s="306"/>
      <c r="C157" s="466">
        <f t="shared" si="16"/>
        <v>0</v>
      </c>
      <c r="D157" s="819"/>
      <c r="E157" s="820"/>
      <c r="F157" s="13">
        <f t="shared" si="14"/>
        <v>0</v>
      </c>
    </row>
    <row r="158" spans="1:6" s="13" customFormat="1" hidden="1" x14ac:dyDescent="0.3">
      <c r="A158" s="1667"/>
      <c r="B158" s="306"/>
      <c r="C158" s="466">
        <f t="shared" si="16"/>
        <v>0</v>
      </c>
      <c r="D158" s="819"/>
      <c r="E158" s="820"/>
      <c r="F158" s="13">
        <f t="shared" si="14"/>
        <v>0</v>
      </c>
    </row>
    <row r="159" spans="1:6" s="13" customFormat="1" hidden="1" x14ac:dyDescent="0.3">
      <c r="A159" s="1667"/>
      <c r="B159" s="306"/>
      <c r="C159" s="466">
        <f t="shared" si="16"/>
        <v>0</v>
      </c>
      <c r="D159" s="819"/>
      <c r="E159" s="820"/>
      <c r="F159" s="13">
        <f t="shared" si="14"/>
        <v>0</v>
      </c>
    </row>
    <row r="160" spans="1:6" s="13" customFormat="1" hidden="1" x14ac:dyDescent="0.3">
      <c r="A160" s="1667"/>
      <c r="B160" s="306"/>
      <c r="C160" s="466">
        <f t="shared" si="16"/>
        <v>0</v>
      </c>
      <c r="D160" s="819"/>
      <c r="E160" s="820"/>
      <c r="F160" s="13">
        <f t="shared" si="14"/>
        <v>0</v>
      </c>
    </row>
    <row r="161" spans="1:6" s="13" customFormat="1" hidden="1" x14ac:dyDescent="0.3">
      <c r="A161" s="1667"/>
      <c r="B161" s="306"/>
      <c r="C161" s="466">
        <f t="shared" si="16"/>
        <v>0</v>
      </c>
      <c r="D161" s="819"/>
      <c r="E161" s="820"/>
      <c r="F161" s="13">
        <f t="shared" si="14"/>
        <v>0</v>
      </c>
    </row>
    <row r="162" spans="1:6" s="13" customFormat="1" hidden="1" x14ac:dyDescent="0.3">
      <c r="A162" s="1667"/>
      <c r="B162" s="306"/>
      <c r="C162" s="466">
        <f t="shared" si="16"/>
        <v>0</v>
      </c>
      <c r="D162" s="819"/>
      <c r="E162" s="820"/>
      <c r="F162" s="13">
        <f t="shared" si="14"/>
        <v>0</v>
      </c>
    </row>
    <row r="163" spans="1:6" x14ac:dyDescent="0.3">
      <c r="A163" s="1673"/>
      <c r="B163" s="1322" t="s">
        <v>740</v>
      </c>
      <c r="C163" s="1614">
        <f>SUM(C153:C162)</f>
        <v>981000</v>
      </c>
      <c r="D163" s="1614">
        <f>SUM(D153:D162)</f>
        <v>0</v>
      </c>
      <c r="E163" s="1615">
        <f>SUM(E153:E162)</f>
        <v>981000</v>
      </c>
      <c r="F163" s="1523">
        <f t="shared" si="14"/>
        <v>1962000</v>
      </c>
    </row>
    <row r="164" spans="1:6" ht="188.45" customHeight="1" x14ac:dyDescent="0.3">
      <c r="A164" s="1669" t="s">
        <v>1081</v>
      </c>
      <c r="B164" s="1612" t="s">
        <v>1855</v>
      </c>
      <c r="C164" s="1613">
        <f>D164+E164</f>
        <v>276000</v>
      </c>
      <c r="D164" s="1613"/>
      <c r="E164" s="1613">
        <v>276000</v>
      </c>
      <c r="F164" s="1523">
        <f t="shared" si="14"/>
        <v>552000</v>
      </c>
    </row>
    <row r="165" spans="1:6" ht="37.5" x14ac:dyDescent="0.3">
      <c r="A165" s="1667"/>
      <c r="B165" s="1612" t="s">
        <v>1922</v>
      </c>
      <c r="C165" s="1613">
        <f>D165+E165</f>
        <v>540000</v>
      </c>
      <c r="D165" s="1613"/>
      <c r="E165" s="1613">
        <f>504000+36000</f>
        <v>540000</v>
      </c>
      <c r="F165" s="1523">
        <f t="shared" si="14"/>
        <v>1080000</v>
      </c>
    </row>
    <row r="166" spans="1:6" s="13" customFormat="1" hidden="1" x14ac:dyDescent="0.3">
      <c r="A166" s="1667"/>
      <c r="B166" s="306"/>
      <c r="C166" s="466">
        <f t="shared" ref="C166:C173" si="17">SUM(D166:E166)</f>
        <v>0</v>
      </c>
      <c r="D166" s="819"/>
      <c r="E166" s="820"/>
      <c r="F166" s="13">
        <f t="shared" si="14"/>
        <v>0</v>
      </c>
    </row>
    <row r="167" spans="1:6" s="13" customFormat="1" hidden="1" x14ac:dyDescent="0.3">
      <c r="A167" s="1667"/>
      <c r="B167" s="306"/>
      <c r="C167" s="466">
        <f t="shared" si="17"/>
        <v>0</v>
      </c>
      <c r="D167" s="819"/>
      <c r="E167" s="820"/>
      <c r="F167" s="13">
        <f t="shared" si="14"/>
        <v>0</v>
      </c>
    </row>
    <row r="168" spans="1:6" s="13" customFormat="1" hidden="1" x14ac:dyDescent="0.3">
      <c r="A168" s="1667"/>
      <c r="B168" s="306"/>
      <c r="C168" s="466">
        <f t="shared" si="17"/>
        <v>0</v>
      </c>
      <c r="D168" s="819"/>
      <c r="E168" s="820"/>
      <c r="F168" s="13">
        <f t="shared" si="14"/>
        <v>0</v>
      </c>
    </row>
    <row r="169" spans="1:6" s="13" customFormat="1" hidden="1" x14ac:dyDescent="0.3">
      <c r="A169" s="1667"/>
      <c r="B169" s="306"/>
      <c r="C169" s="466">
        <f t="shared" si="17"/>
        <v>0</v>
      </c>
      <c r="D169" s="819"/>
      <c r="E169" s="820"/>
      <c r="F169" s="13">
        <f t="shared" si="14"/>
        <v>0</v>
      </c>
    </row>
    <row r="170" spans="1:6" s="13" customFormat="1" hidden="1" x14ac:dyDescent="0.3">
      <c r="A170" s="1667"/>
      <c r="B170" s="306"/>
      <c r="C170" s="466">
        <f t="shared" si="17"/>
        <v>0</v>
      </c>
      <c r="D170" s="819"/>
      <c r="E170" s="820"/>
      <c r="F170" s="13">
        <f t="shared" si="14"/>
        <v>0</v>
      </c>
    </row>
    <row r="171" spans="1:6" s="13" customFormat="1" hidden="1" x14ac:dyDescent="0.3">
      <c r="A171" s="1667"/>
      <c r="B171" s="306"/>
      <c r="C171" s="466">
        <f t="shared" si="17"/>
        <v>0</v>
      </c>
      <c r="D171" s="819"/>
      <c r="E171" s="820"/>
      <c r="F171" s="13">
        <f t="shared" si="14"/>
        <v>0</v>
      </c>
    </row>
    <row r="172" spans="1:6" s="13" customFormat="1" hidden="1" x14ac:dyDescent="0.3">
      <c r="A172" s="1667"/>
      <c r="B172" s="306"/>
      <c r="C172" s="466">
        <f t="shared" si="17"/>
        <v>0</v>
      </c>
      <c r="D172" s="819"/>
      <c r="E172" s="820"/>
      <c r="F172" s="13">
        <f t="shared" si="14"/>
        <v>0</v>
      </c>
    </row>
    <row r="173" spans="1:6" s="13" customFormat="1" hidden="1" x14ac:dyDescent="0.3">
      <c r="A173" s="1667"/>
      <c r="B173" s="306"/>
      <c r="C173" s="466">
        <f t="shared" si="17"/>
        <v>0</v>
      </c>
      <c r="D173" s="819"/>
      <c r="E173" s="820"/>
      <c r="F173" s="13">
        <f t="shared" si="14"/>
        <v>0</v>
      </c>
    </row>
    <row r="174" spans="1:6" x14ac:dyDescent="0.3">
      <c r="A174" s="1673"/>
      <c r="B174" s="1322" t="s">
        <v>740</v>
      </c>
      <c r="C174" s="1614">
        <f>SUM(C164:C173)</f>
        <v>816000</v>
      </c>
      <c r="D174" s="1614">
        <f>SUM(D164:D173)</f>
        <v>0</v>
      </c>
      <c r="E174" s="1615">
        <f>SUM(E164:E173)</f>
        <v>816000</v>
      </c>
      <c r="F174" s="1523">
        <f t="shared" si="14"/>
        <v>1632000</v>
      </c>
    </row>
    <row r="175" spans="1:6" ht="37.5" x14ac:dyDescent="0.3">
      <c r="A175" s="1669" t="s">
        <v>1082</v>
      </c>
      <c r="B175" s="1612" t="s">
        <v>1881</v>
      </c>
      <c r="C175" s="1613">
        <f>D175+E175</f>
        <v>78000</v>
      </c>
      <c r="D175" s="1613"/>
      <c r="E175" s="1613">
        <v>78000</v>
      </c>
      <c r="F175" s="1523">
        <f t="shared" si="14"/>
        <v>156000</v>
      </c>
    </row>
    <row r="176" spans="1:6" s="13" customFormat="1" hidden="1" x14ac:dyDescent="0.3">
      <c r="A176" s="1667"/>
      <c r="B176" s="306"/>
      <c r="C176" s="466">
        <f t="shared" ref="C176:C184" si="18">SUM(D176:E176)</f>
        <v>0</v>
      </c>
      <c r="D176" s="819"/>
      <c r="E176" s="820"/>
      <c r="F176" s="13">
        <f t="shared" si="14"/>
        <v>0</v>
      </c>
    </row>
    <row r="177" spans="1:6" s="13" customFormat="1" hidden="1" x14ac:dyDescent="0.3">
      <c r="A177" s="1667"/>
      <c r="B177" s="306"/>
      <c r="C177" s="466">
        <f t="shared" si="18"/>
        <v>0</v>
      </c>
      <c r="D177" s="819"/>
      <c r="E177" s="820"/>
      <c r="F177" s="13">
        <f t="shared" si="14"/>
        <v>0</v>
      </c>
    </row>
    <row r="178" spans="1:6" s="13" customFormat="1" hidden="1" x14ac:dyDescent="0.3">
      <c r="A178" s="1667"/>
      <c r="B178" s="306"/>
      <c r="C178" s="466">
        <f t="shared" si="18"/>
        <v>0</v>
      </c>
      <c r="D178" s="819"/>
      <c r="E178" s="820"/>
      <c r="F178" s="13">
        <f t="shared" si="14"/>
        <v>0</v>
      </c>
    </row>
    <row r="179" spans="1:6" s="13" customFormat="1" hidden="1" x14ac:dyDescent="0.3">
      <c r="A179" s="1667"/>
      <c r="B179" s="306"/>
      <c r="C179" s="466">
        <f t="shared" si="18"/>
        <v>0</v>
      </c>
      <c r="D179" s="819"/>
      <c r="E179" s="820"/>
      <c r="F179" s="13">
        <f t="shared" si="14"/>
        <v>0</v>
      </c>
    </row>
    <row r="180" spans="1:6" s="13" customFormat="1" hidden="1" x14ac:dyDescent="0.3">
      <c r="A180" s="1667"/>
      <c r="B180" s="306"/>
      <c r="C180" s="466">
        <f t="shared" si="18"/>
        <v>0</v>
      </c>
      <c r="D180" s="819"/>
      <c r="E180" s="820"/>
      <c r="F180" s="13">
        <f t="shared" si="14"/>
        <v>0</v>
      </c>
    </row>
    <row r="181" spans="1:6" s="13" customFormat="1" hidden="1" x14ac:dyDescent="0.3">
      <c r="A181" s="1667"/>
      <c r="B181" s="306"/>
      <c r="C181" s="466">
        <f t="shared" si="18"/>
        <v>0</v>
      </c>
      <c r="D181" s="819"/>
      <c r="E181" s="820"/>
      <c r="F181" s="13">
        <f t="shared" si="14"/>
        <v>0</v>
      </c>
    </row>
    <row r="182" spans="1:6" s="13" customFormat="1" hidden="1" x14ac:dyDescent="0.3">
      <c r="A182" s="1667"/>
      <c r="B182" s="306"/>
      <c r="C182" s="466">
        <f t="shared" si="18"/>
        <v>0</v>
      </c>
      <c r="D182" s="819"/>
      <c r="E182" s="820"/>
      <c r="F182" s="13">
        <f t="shared" si="14"/>
        <v>0</v>
      </c>
    </row>
    <row r="183" spans="1:6" s="13" customFormat="1" hidden="1" x14ac:dyDescent="0.3">
      <c r="A183" s="1667"/>
      <c r="B183" s="306"/>
      <c r="C183" s="466">
        <f t="shared" si="18"/>
        <v>0</v>
      </c>
      <c r="D183" s="819"/>
      <c r="E183" s="820"/>
      <c r="F183" s="13">
        <f t="shared" si="14"/>
        <v>0</v>
      </c>
    </row>
    <row r="184" spans="1:6" s="13" customFormat="1" hidden="1" x14ac:dyDescent="0.3">
      <c r="A184" s="1667"/>
      <c r="B184" s="306"/>
      <c r="C184" s="466">
        <f t="shared" si="18"/>
        <v>0</v>
      </c>
      <c r="D184" s="819"/>
      <c r="E184" s="820"/>
      <c r="F184" s="13">
        <f t="shared" si="14"/>
        <v>0</v>
      </c>
    </row>
    <row r="185" spans="1:6" ht="61.15" customHeight="1" x14ac:dyDescent="0.3">
      <c r="A185" s="1673"/>
      <c r="B185" s="1322" t="s">
        <v>740</v>
      </c>
      <c r="C185" s="1614">
        <f>SUM(C175:C184)</f>
        <v>78000</v>
      </c>
      <c r="D185" s="1614">
        <f>SUM(D175:D184)</f>
        <v>0</v>
      </c>
      <c r="E185" s="1615">
        <f>SUM(E175:E184)</f>
        <v>78000</v>
      </c>
      <c r="F185" s="1523">
        <f t="shared" si="14"/>
        <v>156000</v>
      </c>
    </row>
    <row r="186" spans="1:6" ht="75" x14ac:dyDescent="0.3">
      <c r="A186" s="1669" t="s">
        <v>1083</v>
      </c>
      <c r="B186" s="1612" t="s">
        <v>2323</v>
      </c>
      <c r="C186" s="1613">
        <f>D186+E186</f>
        <v>66000</v>
      </c>
      <c r="D186" s="1613"/>
      <c r="E186" s="1613">
        <v>66000</v>
      </c>
      <c r="F186" s="1523">
        <f t="shared" si="14"/>
        <v>132000</v>
      </c>
    </row>
    <row r="187" spans="1:6" s="13" customFormat="1" hidden="1" x14ac:dyDescent="0.3">
      <c r="A187" s="1667"/>
      <c r="B187" s="306"/>
      <c r="C187" s="466">
        <f t="shared" ref="C187:C195" si="19">SUM(D187:E187)</f>
        <v>0</v>
      </c>
      <c r="D187" s="819"/>
      <c r="E187" s="820"/>
      <c r="F187" s="13">
        <f t="shared" si="14"/>
        <v>0</v>
      </c>
    </row>
    <row r="188" spans="1:6" s="13" customFormat="1" hidden="1" x14ac:dyDescent="0.3">
      <c r="A188" s="1667"/>
      <c r="B188" s="306"/>
      <c r="C188" s="466">
        <f t="shared" si="19"/>
        <v>0</v>
      </c>
      <c r="D188" s="819"/>
      <c r="E188" s="820"/>
      <c r="F188" s="13">
        <f t="shared" si="14"/>
        <v>0</v>
      </c>
    </row>
    <row r="189" spans="1:6" s="13" customFormat="1" hidden="1" x14ac:dyDescent="0.3">
      <c r="A189" s="1667"/>
      <c r="B189" s="306"/>
      <c r="C189" s="466">
        <f t="shared" si="19"/>
        <v>0</v>
      </c>
      <c r="D189" s="819"/>
      <c r="E189" s="820"/>
      <c r="F189" s="13">
        <f t="shared" si="14"/>
        <v>0</v>
      </c>
    </row>
    <row r="190" spans="1:6" s="13" customFormat="1" hidden="1" x14ac:dyDescent="0.3">
      <c r="A190" s="1667"/>
      <c r="B190" s="306"/>
      <c r="C190" s="466">
        <f t="shared" si="19"/>
        <v>0</v>
      </c>
      <c r="D190" s="819"/>
      <c r="E190" s="820"/>
      <c r="F190" s="13">
        <f t="shared" si="14"/>
        <v>0</v>
      </c>
    </row>
    <row r="191" spans="1:6" s="13" customFormat="1" hidden="1" x14ac:dyDescent="0.3">
      <c r="A191" s="1667"/>
      <c r="B191" s="306"/>
      <c r="C191" s="466">
        <f t="shared" si="19"/>
        <v>0</v>
      </c>
      <c r="D191" s="819"/>
      <c r="E191" s="820"/>
      <c r="F191" s="13">
        <f t="shared" si="14"/>
        <v>0</v>
      </c>
    </row>
    <row r="192" spans="1:6" s="13" customFormat="1" hidden="1" x14ac:dyDescent="0.3">
      <c r="A192" s="1667"/>
      <c r="B192" s="306"/>
      <c r="C192" s="466">
        <f t="shared" si="19"/>
        <v>0</v>
      </c>
      <c r="D192" s="819"/>
      <c r="E192" s="820"/>
      <c r="F192" s="13">
        <f t="shared" si="14"/>
        <v>0</v>
      </c>
    </row>
    <row r="193" spans="1:6" s="13" customFormat="1" hidden="1" x14ac:dyDescent="0.3">
      <c r="A193" s="1667"/>
      <c r="B193" s="306"/>
      <c r="C193" s="466">
        <f t="shared" si="19"/>
        <v>0</v>
      </c>
      <c r="D193" s="819"/>
      <c r="E193" s="820"/>
      <c r="F193" s="13">
        <f t="shared" si="14"/>
        <v>0</v>
      </c>
    </row>
    <row r="194" spans="1:6" s="13" customFormat="1" hidden="1" x14ac:dyDescent="0.3">
      <c r="A194" s="1667"/>
      <c r="B194" s="306"/>
      <c r="C194" s="466">
        <f t="shared" si="19"/>
        <v>0</v>
      </c>
      <c r="D194" s="819"/>
      <c r="E194" s="820"/>
      <c r="F194" s="13">
        <f t="shared" si="14"/>
        <v>0</v>
      </c>
    </row>
    <row r="195" spans="1:6" s="13" customFormat="1" hidden="1" x14ac:dyDescent="0.3">
      <c r="A195" s="1667"/>
      <c r="B195" s="306"/>
      <c r="C195" s="466">
        <f t="shared" si="19"/>
        <v>0</v>
      </c>
      <c r="D195" s="819"/>
      <c r="E195" s="820"/>
      <c r="F195" s="13">
        <f t="shared" si="14"/>
        <v>0</v>
      </c>
    </row>
    <row r="196" spans="1:6" x14ac:dyDescent="0.3">
      <c r="A196" s="1673"/>
      <c r="B196" s="1322" t="s">
        <v>740</v>
      </c>
      <c r="C196" s="1614">
        <f>SUM(C186:C195)</f>
        <v>66000</v>
      </c>
      <c r="D196" s="1614">
        <f>SUM(D186:D195)</f>
        <v>0</v>
      </c>
      <c r="E196" s="1615">
        <f>SUM(E186:E195)</f>
        <v>66000</v>
      </c>
      <c r="F196" s="1523">
        <f t="shared" si="14"/>
        <v>132000</v>
      </c>
    </row>
    <row r="197" spans="1:6" ht="56.25" x14ac:dyDescent="0.3">
      <c r="A197" s="1669" t="s">
        <v>1084</v>
      </c>
      <c r="B197" s="1612" t="s">
        <v>1908</v>
      </c>
      <c r="C197" s="1613">
        <f>D197+E197</f>
        <v>650000</v>
      </c>
      <c r="D197" s="1613"/>
      <c r="E197" s="1613">
        <v>650000</v>
      </c>
      <c r="F197" s="1523">
        <f t="shared" si="14"/>
        <v>1300000</v>
      </c>
    </row>
    <row r="198" spans="1:6" ht="75" x14ac:dyDescent="0.3">
      <c r="A198" s="1667"/>
      <c r="B198" s="1612" t="s">
        <v>1909</v>
      </c>
      <c r="C198" s="1613">
        <f>D198+E198</f>
        <v>309000</v>
      </c>
      <c r="D198" s="1613"/>
      <c r="E198" s="1613">
        <f>150000+159000</f>
        <v>309000</v>
      </c>
      <c r="F198" s="1523">
        <f t="shared" si="14"/>
        <v>618000</v>
      </c>
    </row>
    <row r="199" spans="1:6" s="13" customFormat="1" hidden="1" x14ac:dyDescent="0.3">
      <c r="A199" s="1667"/>
      <c r="B199" s="306"/>
      <c r="C199" s="466">
        <f t="shared" ref="C199:C206" si="20">SUM(D199:E199)</f>
        <v>0</v>
      </c>
      <c r="D199" s="819"/>
      <c r="E199" s="820"/>
      <c r="F199" s="13">
        <f t="shared" si="14"/>
        <v>0</v>
      </c>
    </row>
    <row r="200" spans="1:6" s="13" customFormat="1" hidden="1" x14ac:dyDescent="0.3">
      <c r="A200" s="1667"/>
      <c r="B200" s="306"/>
      <c r="C200" s="466">
        <f t="shared" si="20"/>
        <v>0</v>
      </c>
      <c r="D200" s="819"/>
      <c r="E200" s="820"/>
      <c r="F200" s="13">
        <f t="shared" si="14"/>
        <v>0</v>
      </c>
    </row>
    <row r="201" spans="1:6" s="13" customFormat="1" hidden="1" x14ac:dyDescent="0.3">
      <c r="A201" s="1667"/>
      <c r="B201" s="306"/>
      <c r="C201" s="466">
        <f t="shared" si="20"/>
        <v>0</v>
      </c>
      <c r="D201" s="819"/>
      <c r="E201" s="820"/>
      <c r="F201" s="13">
        <f t="shared" si="14"/>
        <v>0</v>
      </c>
    </row>
    <row r="202" spans="1:6" s="13" customFormat="1" hidden="1" x14ac:dyDescent="0.3">
      <c r="A202" s="1667"/>
      <c r="B202" s="306"/>
      <c r="C202" s="466">
        <f t="shared" si="20"/>
        <v>0</v>
      </c>
      <c r="D202" s="819"/>
      <c r="E202" s="820"/>
      <c r="F202" s="13">
        <f t="shared" ref="F202:F265" si="21">SUM(C202:E202)</f>
        <v>0</v>
      </c>
    </row>
    <row r="203" spans="1:6" s="13" customFormat="1" hidden="1" x14ac:dyDescent="0.3">
      <c r="A203" s="1667"/>
      <c r="B203" s="306"/>
      <c r="C203" s="466">
        <f t="shared" si="20"/>
        <v>0</v>
      </c>
      <c r="D203" s="819"/>
      <c r="E203" s="820"/>
      <c r="F203" s="13">
        <f t="shared" si="21"/>
        <v>0</v>
      </c>
    </row>
    <row r="204" spans="1:6" s="13" customFormat="1" hidden="1" x14ac:dyDescent="0.3">
      <c r="A204" s="1667"/>
      <c r="B204" s="306"/>
      <c r="C204" s="466">
        <f t="shared" si="20"/>
        <v>0</v>
      </c>
      <c r="D204" s="819"/>
      <c r="E204" s="820"/>
      <c r="F204" s="13">
        <f t="shared" si="21"/>
        <v>0</v>
      </c>
    </row>
    <row r="205" spans="1:6" s="13" customFormat="1" hidden="1" x14ac:dyDescent="0.3">
      <c r="A205" s="1667"/>
      <c r="B205" s="306"/>
      <c r="C205" s="466">
        <f t="shared" si="20"/>
        <v>0</v>
      </c>
      <c r="D205" s="819"/>
      <c r="E205" s="820"/>
      <c r="F205" s="13">
        <f t="shared" si="21"/>
        <v>0</v>
      </c>
    </row>
    <row r="206" spans="1:6" s="13" customFormat="1" hidden="1" x14ac:dyDescent="0.3">
      <c r="A206" s="1667"/>
      <c r="B206" s="306"/>
      <c r="C206" s="466">
        <f t="shared" si="20"/>
        <v>0</v>
      </c>
      <c r="D206" s="819"/>
      <c r="E206" s="820"/>
      <c r="F206" s="13">
        <f t="shared" si="21"/>
        <v>0</v>
      </c>
    </row>
    <row r="207" spans="1:6" x14ac:dyDescent="0.3">
      <c r="A207" s="1673"/>
      <c r="B207" s="1322" t="s">
        <v>740</v>
      </c>
      <c r="C207" s="1614">
        <f>SUM(C197:C206)</f>
        <v>959000</v>
      </c>
      <c r="D207" s="1614">
        <f>SUM(D197:D206)</f>
        <v>0</v>
      </c>
      <c r="E207" s="1615">
        <f>SUM(E197:E206)</f>
        <v>959000</v>
      </c>
      <c r="F207" s="1523">
        <f t="shared" si="21"/>
        <v>1918000</v>
      </c>
    </row>
    <row r="208" spans="1:6" s="13" customFormat="1" hidden="1" x14ac:dyDescent="0.3">
      <c r="A208" s="1669" t="s">
        <v>1085</v>
      </c>
      <c r="B208" s="306"/>
      <c r="C208" s="466">
        <f>SUM(D208:E208)</f>
        <v>0</v>
      </c>
      <c r="D208" s="819"/>
      <c r="E208" s="820"/>
      <c r="F208" s="13">
        <f t="shared" si="21"/>
        <v>0</v>
      </c>
    </row>
    <row r="209" spans="1:6" s="13" customFormat="1" hidden="1" x14ac:dyDescent="0.3">
      <c r="A209" s="1667"/>
      <c r="B209" s="306"/>
      <c r="C209" s="466">
        <f t="shared" ref="C209:C217" si="22">SUM(D209:E209)</f>
        <v>0</v>
      </c>
      <c r="D209" s="819"/>
      <c r="E209" s="820"/>
      <c r="F209" s="13">
        <f t="shared" si="21"/>
        <v>0</v>
      </c>
    </row>
    <row r="210" spans="1:6" s="13" customFormat="1" hidden="1" x14ac:dyDescent="0.3">
      <c r="A210" s="1667"/>
      <c r="B210" s="306"/>
      <c r="C210" s="466">
        <f t="shared" si="22"/>
        <v>0</v>
      </c>
      <c r="D210" s="819"/>
      <c r="E210" s="820"/>
      <c r="F210" s="13">
        <f t="shared" si="21"/>
        <v>0</v>
      </c>
    </row>
    <row r="211" spans="1:6" s="13" customFormat="1" hidden="1" x14ac:dyDescent="0.3">
      <c r="A211" s="1667"/>
      <c r="B211" s="306"/>
      <c r="C211" s="466">
        <f t="shared" si="22"/>
        <v>0</v>
      </c>
      <c r="D211" s="819"/>
      <c r="E211" s="820"/>
      <c r="F211" s="13">
        <f t="shared" si="21"/>
        <v>0</v>
      </c>
    </row>
    <row r="212" spans="1:6" s="13" customFormat="1" hidden="1" x14ac:dyDescent="0.3">
      <c r="A212" s="1667"/>
      <c r="B212" s="306"/>
      <c r="C212" s="466">
        <f t="shared" si="22"/>
        <v>0</v>
      </c>
      <c r="D212" s="819"/>
      <c r="E212" s="820"/>
      <c r="F212" s="13">
        <f t="shared" si="21"/>
        <v>0</v>
      </c>
    </row>
    <row r="213" spans="1:6" s="13" customFormat="1" hidden="1" x14ac:dyDescent="0.3">
      <c r="A213" s="1667"/>
      <c r="B213" s="306"/>
      <c r="C213" s="466">
        <f t="shared" si="22"/>
        <v>0</v>
      </c>
      <c r="D213" s="819"/>
      <c r="E213" s="820"/>
      <c r="F213" s="13">
        <f t="shared" si="21"/>
        <v>0</v>
      </c>
    </row>
    <row r="214" spans="1:6" s="13" customFormat="1" hidden="1" x14ac:dyDescent="0.3">
      <c r="A214" s="1667"/>
      <c r="B214" s="306"/>
      <c r="C214" s="466">
        <f t="shared" si="22"/>
        <v>0</v>
      </c>
      <c r="D214" s="819"/>
      <c r="E214" s="820"/>
      <c r="F214" s="13">
        <f t="shared" si="21"/>
        <v>0</v>
      </c>
    </row>
    <row r="215" spans="1:6" s="13" customFormat="1" hidden="1" x14ac:dyDescent="0.3">
      <c r="A215" s="1667"/>
      <c r="B215" s="306"/>
      <c r="C215" s="466">
        <f t="shared" si="22"/>
        <v>0</v>
      </c>
      <c r="D215" s="819"/>
      <c r="E215" s="820"/>
      <c r="F215" s="13">
        <f t="shared" si="21"/>
        <v>0</v>
      </c>
    </row>
    <row r="216" spans="1:6" s="13" customFormat="1" hidden="1" x14ac:dyDescent="0.3">
      <c r="A216" s="1667"/>
      <c r="B216" s="306"/>
      <c r="C216" s="466">
        <f t="shared" si="22"/>
        <v>0</v>
      </c>
      <c r="D216" s="819"/>
      <c r="E216" s="820"/>
      <c r="F216" s="13">
        <f t="shared" si="21"/>
        <v>0</v>
      </c>
    </row>
    <row r="217" spans="1:6" s="13" customFormat="1" hidden="1" x14ac:dyDescent="0.3">
      <c r="A217" s="1667"/>
      <c r="B217" s="306"/>
      <c r="C217" s="466">
        <f t="shared" si="22"/>
        <v>0</v>
      </c>
      <c r="D217" s="819"/>
      <c r="E217" s="820"/>
      <c r="F217" s="13">
        <f t="shared" si="21"/>
        <v>0</v>
      </c>
    </row>
    <row r="218" spans="1:6" s="13" customFormat="1" hidden="1" x14ac:dyDescent="0.3">
      <c r="A218" s="1673"/>
      <c r="B218" s="306" t="s">
        <v>740</v>
      </c>
      <c r="C218" s="466">
        <f>SUM(C208:C217)</f>
        <v>0</v>
      </c>
      <c r="D218" s="466">
        <f>SUM(D208:D217)</f>
        <v>0</v>
      </c>
      <c r="E218" s="599">
        <f>SUM(E208:E217)</f>
        <v>0</v>
      </c>
      <c r="F218" s="13">
        <f t="shared" si="21"/>
        <v>0</v>
      </c>
    </row>
    <row r="219" spans="1:6" ht="37.5" x14ac:dyDescent="0.3">
      <c r="A219" s="1669" t="s">
        <v>1086</v>
      </c>
      <c r="B219" s="1612" t="s">
        <v>1965</v>
      </c>
      <c r="C219" s="1613">
        <f>D219+E219</f>
        <v>540000</v>
      </c>
      <c r="D219" s="1613"/>
      <c r="E219" s="1613">
        <f>500000+40000</f>
        <v>540000</v>
      </c>
      <c r="F219" s="1523">
        <f t="shared" si="21"/>
        <v>1080000</v>
      </c>
    </row>
    <row r="220" spans="1:6" x14ac:dyDescent="0.3">
      <c r="A220" s="1667"/>
      <c r="B220" s="1612" t="s">
        <v>2333</v>
      </c>
      <c r="C220" s="1613">
        <f>D220+E220</f>
        <v>42000</v>
      </c>
      <c r="D220" s="1613"/>
      <c r="E220" s="1613">
        <v>42000</v>
      </c>
      <c r="F220" s="1523">
        <f t="shared" si="21"/>
        <v>84000</v>
      </c>
    </row>
    <row r="221" spans="1:6" s="13" customFormat="1" hidden="1" x14ac:dyDescent="0.3">
      <c r="A221" s="1667"/>
      <c r="B221" s="306"/>
      <c r="C221" s="466">
        <f t="shared" ref="C221:C228" si="23">SUM(D221:E221)</f>
        <v>0</v>
      </c>
      <c r="D221" s="819"/>
      <c r="E221" s="820"/>
      <c r="F221" s="13">
        <f t="shared" si="21"/>
        <v>0</v>
      </c>
    </row>
    <row r="222" spans="1:6" s="13" customFormat="1" hidden="1" x14ac:dyDescent="0.3">
      <c r="A222" s="1667"/>
      <c r="B222" s="306"/>
      <c r="C222" s="466">
        <f t="shared" si="23"/>
        <v>0</v>
      </c>
      <c r="D222" s="819"/>
      <c r="E222" s="820"/>
      <c r="F222" s="13">
        <f t="shared" si="21"/>
        <v>0</v>
      </c>
    </row>
    <row r="223" spans="1:6" s="13" customFormat="1" hidden="1" x14ac:dyDescent="0.3">
      <c r="A223" s="1667"/>
      <c r="B223" s="306"/>
      <c r="C223" s="466">
        <f t="shared" si="23"/>
        <v>0</v>
      </c>
      <c r="D223" s="819"/>
      <c r="E223" s="820"/>
      <c r="F223" s="13">
        <f t="shared" si="21"/>
        <v>0</v>
      </c>
    </row>
    <row r="224" spans="1:6" s="13" customFormat="1" hidden="1" x14ac:dyDescent="0.3">
      <c r="A224" s="1667"/>
      <c r="B224" s="306"/>
      <c r="C224" s="466">
        <f t="shared" si="23"/>
        <v>0</v>
      </c>
      <c r="D224" s="819"/>
      <c r="E224" s="820"/>
      <c r="F224" s="13">
        <f t="shared" si="21"/>
        <v>0</v>
      </c>
    </row>
    <row r="225" spans="1:6" s="13" customFormat="1" hidden="1" x14ac:dyDescent="0.3">
      <c r="A225" s="1667"/>
      <c r="B225" s="306"/>
      <c r="C225" s="466">
        <f t="shared" si="23"/>
        <v>0</v>
      </c>
      <c r="D225" s="819"/>
      <c r="E225" s="820"/>
      <c r="F225" s="13">
        <f t="shared" si="21"/>
        <v>0</v>
      </c>
    </row>
    <row r="226" spans="1:6" s="13" customFormat="1" hidden="1" x14ac:dyDescent="0.3">
      <c r="A226" s="1667"/>
      <c r="B226" s="306"/>
      <c r="C226" s="466">
        <f t="shared" si="23"/>
        <v>0</v>
      </c>
      <c r="D226" s="819"/>
      <c r="E226" s="820"/>
      <c r="F226" s="13">
        <f t="shared" si="21"/>
        <v>0</v>
      </c>
    </row>
    <row r="227" spans="1:6" s="13" customFormat="1" hidden="1" x14ac:dyDescent="0.3">
      <c r="A227" s="1667"/>
      <c r="B227" s="306"/>
      <c r="C227" s="466">
        <f t="shared" si="23"/>
        <v>0</v>
      </c>
      <c r="D227" s="819"/>
      <c r="E227" s="820"/>
      <c r="F227" s="13">
        <f t="shared" si="21"/>
        <v>0</v>
      </c>
    </row>
    <row r="228" spans="1:6" s="13" customFormat="1" hidden="1" x14ac:dyDescent="0.3">
      <c r="A228" s="1667"/>
      <c r="B228" s="306"/>
      <c r="C228" s="466">
        <f t="shared" si="23"/>
        <v>0</v>
      </c>
      <c r="D228" s="819"/>
      <c r="E228" s="820"/>
      <c r="F228" s="13">
        <f t="shared" si="21"/>
        <v>0</v>
      </c>
    </row>
    <row r="229" spans="1:6" ht="44.45" customHeight="1" x14ac:dyDescent="0.3">
      <c r="A229" s="1673"/>
      <c r="B229" s="1322" t="s">
        <v>740</v>
      </c>
      <c r="C229" s="1614">
        <f>SUM(C219:C228)</f>
        <v>582000</v>
      </c>
      <c r="D229" s="1614">
        <f>SUM(D219:D228)</f>
        <v>0</v>
      </c>
      <c r="E229" s="1615">
        <f>SUM(E219:E228)</f>
        <v>582000</v>
      </c>
      <c r="F229" s="1523">
        <f t="shared" si="21"/>
        <v>1164000</v>
      </c>
    </row>
    <row r="230" spans="1:6" ht="56.25" x14ac:dyDescent="0.3">
      <c r="A230" s="1669" t="s">
        <v>1087</v>
      </c>
      <c r="B230" s="1612" t="s">
        <v>1845</v>
      </c>
      <c r="C230" s="1615">
        <f>D230+E230</f>
        <v>650000</v>
      </c>
      <c r="D230" s="1615"/>
      <c r="E230" s="1615">
        <v>650000</v>
      </c>
      <c r="F230" s="1523">
        <f t="shared" si="21"/>
        <v>1300000</v>
      </c>
    </row>
    <row r="231" spans="1:6" x14ac:dyDescent="0.3">
      <c r="A231" s="1667"/>
      <c r="B231" s="1612" t="s">
        <v>1923</v>
      </c>
      <c r="C231" s="1613">
        <f>D231+E231</f>
        <v>408000</v>
      </c>
      <c r="D231" s="1613"/>
      <c r="E231" s="1613">
        <v>408000</v>
      </c>
      <c r="F231" s="1523">
        <f t="shared" si="21"/>
        <v>816000</v>
      </c>
    </row>
    <row r="232" spans="1:6" s="13" customFormat="1" hidden="1" x14ac:dyDescent="0.3">
      <c r="A232" s="1667"/>
      <c r="B232" s="306"/>
      <c r="C232" s="466">
        <f t="shared" ref="C232:C239" si="24">SUM(D232:E232)</f>
        <v>0</v>
      </c>
      <c r="D232" s="819"/>
      <c r="E232" s="820"/>
      <c r="F232" s="13">
        <f t="shared" si="21"/>
        <v>0</v>
      </c>
    </row>
    <row r="233" spans="1:6" s="13" customFormat="1" hidden="1" x14ac:dyDescent="0.3">
      <c r="A233" s="1667"/>
      <c r="B233" s="306"/>
      <c r="C233" s="466">
        <f t="shared" si="24"/>
        <v>0</v>
      </c>
      <c r="D233" s="819"/>
      <c r="E233" s="820"/>
      <c r="F233" s="13">
        <f t="shared" si="21"/>
        <v>0</v>
      </c>
    </row>
    <row r="234" spans="1:6" s="13" customFormat="1" hidden="1" x14ac:dyDescent="0.3">
      <c r="A234" s="1667"/>
      <c r="B234" s="306"/>
      <c r="C234" s="466">
        <f t="shared" si="24"/>
        <v>0</v>
      </c>
      <c r="D234" s="819"/>
      <c r="E234" s="820"/>
      <c r="F234" s="13">
        <f t="shared" si="21"/>
        <v>0</v>
      </c>
    </row>
    <row r="235" spans="1:6" s="13" customFormat="1" hidden="1" x14ac:dyDescent="0.3">
      <c r="A235" s="1667"/>
      <c r="B235" s="306"/>
      <c r="C235" s="466">
        <f t="shared" si="24"/>
        <v>0</v>
      </c>
      <c r="D235" s="819"/>
      <c r="E235" s="820"/>
      <c r="F235" s="13">
        <f t="shared" si="21"/>
        <v>0</v>
      </c>
    </row>
    <row r="236" spans="1:6" s="13" customFormat="1" hidden="1" x14ac:dyDescent="0.3">
      <c r="A236" s="1667"/>
      <c r="B236" s="306"/>
      <c r="C236" s="466">
        <f t="shared" si="24"/>
        <v>0</v>
      </c>
      <c r="D236" s="819"/>
      <c r="E236" s="820"/>
      <c r="F236" s="13">
        <f t="shared" si="21"/>
        <v>0</v>
      </c>
    </row>
    <row r="237" spans="1:6" s="13" customFormat="1" hidden="1" x14ac:dyDescent="0.3">
      <c r="A237" s="1667"/>
      <c r="B237" s="306"/>
      <c r="C237" s="466">
        <f t="shared" si="24"/>
        <v>0</v>
      </c>
      <c r="D237" s="819"/>
      <c r="E237" s="820"/>
      <c r="F237" s="13">
        <f t="shared" si="21"/>
        <v>0</v>
      </c>
    </row>
    <row r="238" spans="1:6" s="13" customFormat="1" hidden="1" x14ac:dyDescent="0.3">
      <c r="A238" s="1667"/>
      <c r="B238" s="306"/>
      <c r="C238" s="466">
        <f t="shared" si="24"/>
        <v>0</v>
      </c>
      <c r="D238" s="819"/>
      <c r="E238" s="820"/>
      <c r="F238" s="13">
        <f t="shared" si="21"/>
        <v>0</v>
      </c>
    </row>
    <row r="239" spans="1:6" s="13" customFormat="1" hidden="1" x14ac:dyDescent="0.3">
      <c r="A239" s="1667"/>
      <c r="B239" s="306"/>
      <c r="C239" s="466">
        <f t="shared" si="24"/>
        <v>0</v>
      </c>
      <c r="D239" s="819"/>
      <c r="E239" s="820"/>
      <c r="F239" s="13">
        <f t="shared" si="21"/>
        <v>0</v>
      </c>
    </row>
    <row r="240" spans="1:6" x14ac:dyDescent="0.3">
      <c r="A240" s="1673"/>
      <c r="B240" s="1322" t="s">
        <v>740</v>
      </c>
      <c r="C240" s="1614">
        <f>SUM(C230:C239)</f>
        <v>1058000</v>
      </c>
      <c r="D240" s="1614">
        <f>SUM(D230:D239)</f>
        <v>0</v>
      </c>
      <c r="E240" s="1615">
        <f>SUM(E230:E239)</f>
        <v>1058000</v>
      </c>
      <c r="F240" s="1523">
        <f t="shared" si="21"/>
        <v>2116000</v>
      </c>
    </row>
    <row r="241" spans="1:6" ht="112.9" customHeight="1" x14ac:dyDescent="0.3">
      <c r="A241" s="1669" t="s">
        <v>1088</v>
      </c>
      <c r="B241" s="1612" t="s">
        <v>2315</v>
      </c>
      <c r="C241" s="1615">
        <f>D241+E241</f>
        <v>144000</v>
      </c>
      <c r="D241" s="1615"/>
      <c r="E241" s="1615">
        <f>102000+42000</f>
        <v>144000</v>
      </c>
      <c r="F241" s="1523">
        <f t="shared" si="21"/>
        <v>288000</v>
      </c>
    </row>
    <row r="242" spans="1:6" s="13" customFormat="1" hidden="1" x14ac:dyDescent="0.3">
      <c r="A242" s="1667"/>
      <c r="B242" s="306"/>
      <c r="C242" s="466">
        <f t="shared" ref="C242:C250" si="25">SUM(D242:E242)</f>
        <v>0</v>
      </c>
      <c r="D242" s="819"/>
      <c r="E242" s="820"/>
      <c r="F242" s="13">
        <f t="shared" si="21"/>
        <v>0</v>
      </c>
    </row>
    <row r="243" spans="1:6" s="13" customFormat="1" hidden="1" x14ac:dyDescent="0.3">
      <c r="A243" s="1667"/>
      <c r="B243" s="306"/>
      <c r="C243" s="466">
        <f t="shared" si="25"/>
        <v>0</v>
      </c>
      <c r="D243" s="819"/>
      <c r="E243" s="820"/>
      <c r="F243" s="13">
        <f t="shared" si="21"/>
        <v>0</v>
      </c>
    </row>
    <row r="244" spans="1:6" s="13" customFormat="1" hidden="1" x14ac:dyDescent="0.3">
      <c r="A244" s="1667"/>
      <c r="B244" s="306"/>
      <c r="C244" s="466">
        <f t="shared" si="25"/>
        <v>0</v>
      </c>
      <c r="D244" s="819"/>
      <c r="E244" s="820"/>
      <c r="F244" s="13">
        <f t="shared" si="21"/>
        <v>0</v>
      </c>
    </row>
    <row r="245" spans="1:6" s="13" customFormat="1" hidden="1" x14ac:dyDescent="0.3">
      <c r="A245" s="1667"/>
      <c r="B245" s="306"/>
      <c r="C245" s="466">
        <f t="shared" si="25"/>
        <v>0</v>
      </c>
      <c r="D245" s="819"/>
      <c r="E245" s="820"/>
      <c r="F245" s="13">
        <f t="shared" si="21"/>
        <v>0</v>
      </c>
    </row>
    <row r="246" spans="1:6" s="13" customFormat="1" hidden="1" x14ac:dyDescent="0.3">
      <c r="A246" s="1667"/>
      <c r="B246" s="306"/>
      <c r="C246" s="466">
        <f t="shared" si="25"/>
        <v>0</v>
      </c>
      <c r="D246" s="819"/>
      <c r="E246" s="820"/>
      <c r="F246" s="13">
        <f t="shared" si="21"/>
        <v>0</v>
      </c>
    </row>
    <row r="247" spans="1:6" s="13" customFormat="1" hidden="1" x14ac:dyDescent="0.3">
      <c r="A247" s="1667"/>
      <c r="B247" s="306"/>
      <c r="C247" s="466">
        <f t="shared" si="25"/>
        <v>0</v>
      </c>
      <c r="D247" s="819"/>
      <c r="E247" s="820"/>
      <c r="F247" s="13">
        <f t="shared" si="21"/>
        <v>0</v>
      </c>
    </row>
    <row r="248" spans="1:6" s="13" customFormat="1" hidden="1" x14ac:dyDescent="0.3">
      <c r="A248" s="1667"/>
      <c r="B248" s="306"/>
      <c r="C248" s="466">
        <f t="shared" si="25"/>
        <v>0</v>
      </c>
      <c r="D248" s="819"/>
      <c r="E248" s="820"/>
      <c r="F248" s="13">
        <f t="shared" si="21"/>
        <v>0</v>
      </c>
    </row>
    <row r="249" spans="1:6" s="13" customFormat="1" hidden="1" x14ac:dyDescent="0.3">
      <c r="A249" s="1667"/>
      <c r="B249" s="306"/>
      <c r="C249" s="466">
        <f t="shared" si="25"/>
        <v>0</v>
      </c>
      <c r="D249" s="819"/>
      <c r="E249" s="820"/>
      <c r="F249" s="13">
        <f t="shared" si="21"/>
        <v>0</v>
      </c>
    </row>
    <row r="250" spans="1:6" s="13" customFormat="1" hidden="1" x14ac:dyDescent="0.3">
      <c r="A250" s="1667"/>
      <c r="B250" s="306"/>
      <c r="C250" s="466">
        <f t="shared" si="25"/>
        <v>0</v>
      </c>
      <c r="D250" s="819"/>
      <c r="E250" s="820"/>
      <c r="F250" s="13">
        <f t="shared" si="21"/>
        <v>0</v>
      </c>
    </row>
    <row r="251" spans="1:6" x14ac:dyDescent="0.3">
      <c r="A251" s="1673"/>
      <c r="B251" s="1322" t="s">
        <v>740</v>
      </c>
      <c r="C251" s="1614">
        <f>SUM(C241:C250)</f>
        <v>144000</v>
      </c>
      <c r="D251" s="1614">
        <f>SUM(D241:D250)</f>
        <v>0</v>
      </c>
      <c r="E251" s="1615">
        <f>SUM(E241:E250)</f>
        <v>144000</v>
      </c>
      <c r="F251" s="1523">
        <f t="shared" si="21"/>
        <v>288000</v>
      </c>
    </row>
    <row r="252" spans="1:6" ht="61.9" customHeight="1" x14ac:dyDescent="0.3">
      <c r="A252" s="1669" t="s">
        <v>1089</v>
      </c>
      <c r="B252" s="1612" t="s">
        <v>2321</v>
      </c>
      <c r="C252" s="1613">
        <f>D252+E252</f>
        <v>24000</v>
      </c>
      <c r="D252" s="1613"/>
      <c r="E252" s="1613">
        <f>24000</f>
        <v>24000</v>
      </c>
      <c r="F252" s="1523">
        <f t="shared" si="21"/>
        <v>48000</v>
      </c>
    </row>
    <row r="253" spans="1:6" s="13" customFormat="1" hidden="1" x14ac:dyDescent="0.3">
      <c r="A253" s="1667"/>
      <c r="B253" s="306"/>
      <c r="C253" s="466">
        <f t="shared" ref="C253:C261" si="26">SUM(D253:E253)</f>
        <v>0</v>
      </c>
      <c r="D253" s="819"/>
      <c r="E253" s="820"/>
      <c r="F253" s="13">
        <f t="shared" si="21"/>
        <v>0</v>
      </c>
    </row>
    <row r="254" spans="1:6" s="13" customFormat="1" hidden="1" x14ac:dyDescent="0.3">
      <c r="A254" s="1667"/>
      <c r="B254" s="306"/>
      <c r="C254" s="466">
        <f t="shared" si="26"/>
        <v>0</v>
      </c>
      <c r="D254" s="819"/>
      <c r="E254" s="820"/>
      <c r="F254" s="13">
        <f t="shared" si="21"/>
        <v>0</v>
      </c>
    </row>
    <row r="255" spans="1:6" s="13" customFormat="1" hidden="1" x14ac:dyDescent="0.3">
      <c r="A255" s="1667"/>
      <c r="B255" s="306"/>
      <c r="C255" s="466">
        <f t="shared" si="26"/>
        <v>0</v>
      </c>
      <c r="D255" s="819"/>
      <c r="E255" s="820"/>
      <c r="F255" s="13">
        <f t="shared" si="21"/>
        <v>0</v>
      </c>
    </row>
    <row r="256" spans="1:6" s="13" customFormat="1" hidden="1" x14ac:dyDescent="0.3">
      <c r="A256" s="1667"/>
      <c r="B256" s="306"/>
      <c r="C256" s="466">
        <f t="shared" si="26"/>
        <v>0</v>
      </c>
      <c r="D256" s="819"/>
      <c r="E256" s="820"/>
      <c r="F256" s="13">
        <f t="shared" si="21"/>
        <v>0</v>
      </c>
    </row>
    <row r="257" spans="1:6" s="13" customFormat="1" hidden="1" x14ac:dyDescent="0.3">
      <c r="A257" s="1667"/>
      <c r="B257" s="306"/>
      <c r="C257" s="466">
        <f t="shared" si="26"/>
        <v>0</v>
      </c>
      <c r="D257" s="819"/>
      <c r="E257" s="820"/>
      <c r="F257" s="13">
        <f t="shared" si="21"/>
        <v>0</v>
      </c>
    </row>
    <row r="258" spans="1:6" s="13" customFormat="1" hidden="1" x14ac:dyDescent="0.3">
      <c r="A258" s="1667"/>
      <c r="B258" s="306"/>
      <c r="C258" s="466">
        <f t="shared" si="26"/>
        <v>0</v>
      </c>
      <c r="D258" s="819"/>
      <c r="E258" s="820"/>
      <c r="F258" s="13">
        <f t="shared" si="21"/>
        <v>0</v>
      </c>
    </row>
    <row r="259" spans="1:6" s="13" customFormat="1" hidden="1" x14ac:dyDescent="0.3">
      <c r="A259" s="1667"/>
      <c r="B259" s="306"/>
      <c r="C259" s="466">
        <f t="shared" si="26"/>
        <v>0</v>
      </c>
      <c r="D259" s="819"/>
      <c r="E259" s="820"/>
      <c r="F259" s="13">
        <f t="shared" si="21"/>
        <v>0</v>
      </c>
    </row>
    <row r="260" spans="1:6" s="13" customFormat="1" hidden="1" x14ac:dyDescent="0.3">
      <c r="A260" s="1667"/>
      <c r="B260" s="306"/>
      <c r="C260" s="466">
        <f t="shared" si="26"/>
        <v>0</v>
      </c>
      <c r="D260" s="819"/>
      <c r="E260" s="820"/>
      <c r="F260" s="13">
        <f t="shared" si="21"/>
        <v>0</v>
      </c>
    </row>
    <row r="261" spans="1:6" s="13" customFormat="1" hidden="1" x14ac:dyDescent="0.3">
      <c r="A261" s="1667"/>
      <c r="B261" s="306"/>
      <c r="C261" s="466">
        <f t="shared" si="26"/>
        <v>0</v>
      </c>
      <c r="D261" s="819"/>
      <c r="E261" s="820"/>
      <c r="F261" s="13">
        <f t="shared" si="21"/>
        <v>0</v>
      </c>
    </row>
    <row r="262" spans="1:6" ht="53.45" customHeight="1" x14ac:dyDescent="0.3">
      <c r="A262" s="1673"/>
      <c r="B262" s="1322" t="s">
        <v>740</v>
      </c>
      <c r="C262" s="1614">
        <f>SUM(C252:C261)</f>
        <v>24000</v>
      </c>
      <c r="D262" s="1614">
        <f>SUM(D252:D261)</f>
        <v>0</v>
      </c>
      <c r="E262" s="1615">
        <f>SUM(E252:E261)</f>
        <v>24000</v>
      </c>
      <c r="F262" s="1523">
        <f t="shared" si="21"/>
        <v>48000</v>
      </c>
    </row>
    <row r="263" spans="1:6" s="13" customFormat="1" ht="37.5" hidden="1" x14ac:dyDescent="0.3">
      <c r="A263" s="1669" t="s">
        <v>1090</v>
      </c>
      <c r="B263" s="1384" t="s">
        <v>1811</v>
      </c>
      <c r="C263" s="1385">
        <f>D263+E263</f>
        <v>0</v>
      </c>
      <c r="D263" s="1385"/>
      <c r="E263" s="1386">
        <f>600000-600000</f>
        <v>0</v>
      </c>
      <c r="F263" s="13">
        <f t="shared" si="21"/>
        <v>0</v>
      </c>
    </row>
    <row r="264" spans="1:6" s="13" customFormat="1" hidden="1" x14ac:dyDescent="0.3">
      <c r="A264" s="1667"/>
      <c r="B264" s="306"/>
      <c r="C264" s="466">
        <f t="shared" ref="C264:C272" si="27">SUM(D264:E264)</f>
        <v>0</v>
      </c>
      <c r="D264" s="819"/>
      <c r="E264" s="820"/>
      <c r="F264" s="13">
        <f t="shared" si="21"/>
        <v>0</v>
      </c>
    </row>
    <row r="265" spans="1:6" s="13" customFormat="1" hidden="1" x14ac:dyDescent="0.3">
      <c r="A265" s="1667"/>
      <c r="B265" s="306"/>
      <c r="C265" s="466">
        <f t="shared" si="27"/>
        <v>0</v>
      </c>
      <c r="D265" s="819"/>
      <c r="E265" s="820"/>
      <c r="F265" s="13">
        <f t="shared" si="21"/>
        <v>0</v>
      </c>
    </row>
    <row r="266" spans="1:6" s="13" customFormat="1" hidden="1" x14ac:dyDescent="0.3">
      <c r="A266" s="1667"/>
      <c r="B266" s="306"/>
      <c r="C266" s="466">
        <f t="shared" si="27"/>
        <v>0</v>
      </c>
      <c r="D266" s="819"/>
      <c r="E266" s="820"/>
      <c r="F266" s="13">
        <f t="shared" ref="F266:F329" si="28">SUM(C266:E266)</f>
        <v>0</v>
      </c>
    </row>
    <row r="267" spans="1:6" s="13" customFormat="1" hidden="1" x14ac:dyDescent="0.3">
      <c r="A267" s="1667"/>
      <c r="B267" s="306"/>
      <c r="C267" s="466">
        <f t="shared" si="27"/>
        <v>0</v>
      </c>
      <c r="D267" s="819"/>
      <c r="E267" s="820"/>
      <c r="F267" s="13">
        <f t="shared" si="28"/>
        <v>0</v>
      </c>
    </row>
    <row r="268" spans="1:6" s="13" customFormat="1" hidden="1" x14ac:dyDescent="0.3">
      <c r="A268" s="1667"/>
      <c r="B268" s="306"/>
      <c r="C268" s="466">
        <f t="shared" si="27"/>
        <v>0</v>
      </c>
      <c r="D268" s="819"/>
      <c r="E268" s="820"/>
      <c r="F268" s="13">
        <f t="shared" si="28"/>
        <v>0</v>
      </c>
    </row>
    <row r="269" spans="1:6" s="13" customFormat="1" hidden="1" x14ac:dyDescent="0.3">
      <c r="A269" s="1667"/>
      <c r="B269" s="306"/>
      <c r="C269" s="466">
        <f t="shared" si="27"/>
        <v>0</v>
      </c>
      <c r="D269" s="819"/>
      <c r="E269" s="820"/>
      <c r="F269" s="13">
        <f t="shared" si="28"/>
        <v>0</v>
      </c>
    </row>
    <row r="270" spans="1:6" s="13" customFormat="1" hidden="1" x14ac:dyDescent="0.3">
      <c r="A270" s="1667"/>
      <c r="B270" s="306"/>
      <c r="C270" s="466">
        <f t="shared" si="27"/>
        <v>0</v>
      </c>
      <c r="D270" s="819"/>
      <c r="E270" s="820"/>
      <c r="F270" s="13">
        <f t="shared" si="28"/>
        <v>0</v>
      </c>
    </row>
    <row r="271" spans="1:6" s="13" customFormat="1" hidden="1" x14ac:dyDescent="0.3">
      <c r="A271" s="1667"/>
      <c r="B271" s="306"/>
      <c r="C271" s="466">
        <f t="shared" si="27"/>
        <v>0</v>
      </c>
      <c r="D271" s="819"/>
      <c r="E271" s="820"/>
      <c r="F271" s="13">
        <f t="shared" si="28"/>
        <v>0</v>
      </c>
    </row>
    <row r="272" spans="1:6" s="13" customFormat="1" hidden="1" x14ac:dyDescent="0.3">
      <c r="A272" s="1667"/>
      <c r="B272" s="306"/>
      <c r="C272" s="466">
        <f t="shared" si="27"/>
        <v>0</v>
      </c>
      <c r="D272" s="819"/>
      <c r="E272" s="820"/>
      <c r="F272" s="13">
        <f t="shared" si="28"/>
        <v>0</v>
      </c>
    </row>
    <row r="273" spans="1:6" s="13" customFormat="1" hidden="1" x14ac:dyDescent="0.3">
      <c r="A273" s="1673"/>
      <c r="B273" s="891" t="s">
        <v>740</v>
      </c>
      <c r="C273" s="466">
        <f>SUM(C263:C272)</f>
        <v>0</v>
      </c>
      <c r="D273" s="466">
        <f>SUM(D263:D272)</f>
        <v>0</v>
      </c>
      <c r="E273" s="599">
        <f>SUM(E263:E272)</f>
        <v>0</v>
      </c>
      <c r="F273" s="13">
        <f t="shared" si="28"/>
        <v>0</v>
      </c>
    </row>
    <row r="274" spans="1:6" x14ac:dyDescent="0.3">
      <c r="A274" s="1669" t="s">
        <v>1091</v>
      </c>
      <c r="B274" s="1612" t="s">
        <v>1860</v>
      </c>
      <c r="C274" s="1614">
        <f>SUM(D274:E274)</f>
        <v>29772</v>
      </c>
      <c r="D274" s="1617"/>
      <c r="E274" s="1618">
        <v>29772</v>
      </c>
      <c r="F274" s="1523">
        <f t="shared" si="28"/>
        <v>59544</v>
      </c>
    </row>
    <row r="275" spans="1:6" s="13" customFormat="1" hidden="1" x14ac:dyDescent="0.3">
      <c r="A275" s="1667"/>
      <c r="B275" s="306"/>
      <c r="C275" s="466">
        <f t="shared" ref="C275:C283" si="29">SUM(D275:E275)</f>
        <v>0</v>
      </c>
      <c r="D275" s="819"/>
      <c r="E275" s="820"/>
      <c r="F275" s="13">
        <f t="shared" si="28"/>
        <v>0</v>
      </c>
    </row>
    <row r="276" spans="1:6" s="13" customFormat="1" hidden="1" x14ac:dyDescent="0.3">
      <c r="A276" s="1667"/>
      <c r="B276" s="306"/>
      <c r="C276" s="466">
        <f t="shared" si="29"/>
        <v>0</v>
      </c>
      <c r="D276" s="819"/>
      <c r="E276" s="820"/>
      <c r="F276" s="13">
        <f t="shared" si="28"/>
        <v>0</v>
      </c>
    </row>
    <row r="277" spans="1:6" s="13" customFormat="1" hidden="1" x14ac:dyDescent="0.3">
      <c r="A277" s="1667"/>
      <c r="B277" s="306"/>
      <c r="C277" s="466">
        <f t="shared" si="29"/>
        <v>0</v>
      </c>
      <c r="D277" s="819"/>
      <c r="E277" s="820"/>
      <c r="F277" s="13">
        <f t="shared" si="28"/>
        <v>0</v>
      </c>
    </row>
    <row r="278" spans="1:6" s="13" customFormat="1" hidden="1" x14ac:dyDescent="0.3">
      <c r="A278" s="1667"/>
      <c r="B278" s="306"/>
      <c r="C278" s="466">
        <f t="shared" si="29"/>
        <v>0</v>
      </c>
      <c r="D278" s="819"/>
      <c r="E278" s="820"/>
      <c r="F278" s="13">
        <f t="shared" si="28"/>
        <v>0</v>
      </c>
    </row>
    <row r="279" spans="1:6" s="13" customFormat="1" hidden="1" x14ac:dyDescent="0.3">
      <c r="A279" s="1667"/>
      <c r="B279" s="306"/>
      <c r="C279" s="466">
        <f t="shared" si="29"/>
        <v>0</v>
      </c>
      <c r="D279" s="819"/>
      <c r="E279" s="820"/>
      <c r="F279" s="13">
        <f t="shared" si="28"/>
        <v>0</v>
      </c>
    </row>
    <row r="280" spans="1:6" s="13" customFormat="1" hidden="1" x14ac:dyDescent="0.3">
      <c r="A280" s="1667"/>
      <c r="B280" s="306"/>
      <c r="C280" s="466">
        <f t="shared" si="29"/>
        <v>0</v>
      </c>
      <c r="D280" s="819"/>
      <c r="E280" s="820"/>
      <c r="F280" s="13">
        <f t="shared" si="28"/>
        <v>0</v>
      </c>
    </row>
    <row r="281" spans="1:6" s="13" customFormat="1" hidden="1" x14ac:dyDescent="0.3">
      <c r="A281" s="1667"/>
      <c r="B281" s="306"/>
      <c r="C281" s="466">
        <f t="shared" si="29"/>
        <v>0</v>
      </c>
      <c r="D281" s="819"/>
      <c r="E281" s="820"/>
      <c r="F281" s="13">
        <f t="shared" si="28"/>
        <v>0</v>
      </c>
    </row>
    <row r="282" spans="1:6" s="13" customFormat="1" hidden="1" x14ac:dyDescent="0.3">
      <c r="A282" s="1667"/>
      <c r="B282" s="306"/>
      <c r="C282" s="466">
        <f t="shared" si="29"/>
        <v>0</v>
      </c>
      <c r="D282" s="819"/>
      <c r="E282" s="820"/>
      <c r="F282" s="13">
        <f t="shared" si="28"/>
        <v>0</v>
      </c>
    </row>
    <row r="283" spans="1:6" s="13" customFormat="1" hidden="1" x14ac:dyDescent="0.3">
      <c r="A283" s="1667"/>
      <c r="B283" s="306"/>
      <c r="C283" s="466">
        <f t="shared" si="29"/>
        <v>0</v>
      </c>
      <c r="D283" s="819"/>
      <c r="E283" s="820"/>
      <c r="F283" s="13">
        <f t="shared" si="28"/>
        <v>0</v>
      </c>
    </row>
    <row r="284" spans="1:6" ht="74.45" customHeight="1" x14ac:dyDescent="0.3">
      <c r="A284" s="1673"/>
      <c r="B284" s="1322" t="s">
        <v>740</v>
      </c>
      <c r="C284" s="1614">
        <f>SUM(C274:C283)</f>
        <v>29772</v>
      </c>
      <c r="D284" s="1614">
        <f>SUM(D274:D283)</f>
        <v>0</v>
      </c>
      <c r="E284" s="1615">
        <f>SUM(E274:E283)</f>
        <v>29772</v>
      </c>
      <c r="F284" s="1523">
        <f t="shared" si="28"/>
        <v>59544</v>
      </c>
    </row>
    <row r="285" spans="1:6" x14ac:dyDescent="0.3">
      <c r="A285" s="1669" t="s">
        <v>1092</v>
      </c>
      <c r="B285" s="1612" t="s">
        <v>2326</v>
      </c>
      <c r="C285" s="1613">
        <f>D285+E285</f>
        <v>12000</v>
      </c>
      <c r="D285" s="1613"/>
      <c r="E285" s="1613">
        <v>12000</v>
      </c>
      <c r="F285" s="1523">
        <f t="shared" si="28"/>
        <v>24000</v>
      </c>
    </row>
    <row r="286" spans="1:6" s="13" customFormat="1" hidden="1" x14ac:dyDescent="0.3">
      <c r="A286" s="1667"/>
      <c r="B286" s="306"/>
      <c r="C286" s="466">
        <f t="shared" ref="C286:C294" si="30">SUM(D286:E286)</f>
        <v>0</v>
      </c>
      <c r="D286" s="819"/>
      <c r="E286" s="820"/>
      <c r="F286" s="13">
        <f t="shared" si="28"/>
        <v>0</v>
      </c>
    </row>
    <row r="287" spans="1:6" s="13" customFormat="1" hidden="1" x14ac:dyDescent="0.3">
      <c r="A287" s="1667"/>
      <c r="B287" s="306"/>
      <c r="C287" s="466">
        <f t="shared" si="30"/>
        <v>0</v>
      </c>
      <c r="D287" s="819"/>
      <c r="E287" s="820"/>
      <c r="F287" s="13">
        <f t="shared" si="28"/>
        <v>0</v>
      </c>
    </row>
    <row r="288" spans="1:6" s="13" customFormat="1" hidden="1" x14ac:dyDescent="0.3">
      <c r="A288" s="1667"/>
      <c r="B288" s="306"/>
      <c r="C288" s="466">
        <f t="shared" si="30"/>
        <v>0</v>
      </c>
      <c r="D288" s="819"/>
      <c r="E288" s="820"/>
      <c r="F288" s="13">
        <f t="shared" si="28"/>
        <v>0</v>
      </c>
    </row>
    <row r="289" spans="1:6" s="13" customFormat="1" hidden="1" x14ac:dyDescent="0.3">
      <c r="A289" s="1667"/>
      <c r="B289" s="306"/>
      <c r="C289" s="466">
        <f t="shared" si="30"/>
        <v>0</v>
      </c>
      <c r="D289" s="819"/>
      <c r="E289" s="820"/>
      <c r="F289" s="13">
        <f t="shared" si="28"/>
        <v>0</v>
      </c>
    </row>
    <row r="290" spans="1:6" s="13" customFormat="1" hidden="1" x14ac:dyDescent="0.3">
      <c r="A290" s="1667"/>
      <c r="B290" s="306"/>
      <c r="C290" s="466">
        <f t="shared" si="30"/>
        <v>0</v>
      </c>
      <c r="D290" s="819"/>
      <c r="E290" s="820"/>
      <c r="F290" s="13">
        <f t="shared" si="28"/>
        <v>0</v>
      </c>
    </row>
    <row r="291" spans="1:6" s="13" customFormat="1" hidden="1" x14ac:dyDescent="0.3">
      <c r="A291" s="1667"/>
      <c r="B291" s="306"/>
      <c r="C291" s="466">
        <f t="shared" si="30"/>
        <v>0</v>
      </c>
      <c r="D291" s="819"/>
      <c r="E291" s="820"/>
      <c r="F291" s="13">
        <f t="shared" si="28"/>
        <v>0</v>
      </c>
    </row>
    <row r="292" spans="1:6" s="13" customFormat="1" hidden="1" x14ac:dyDescent="0.3">
      <c r="A292" s="1667"/>
      <c r="B292" s="306"/>
      <c r="C292" s="466">
        <f t="shared" si="30"/>
        <v>0</v>
      </c>
      <c r="D292" s="819"/>
      <c r="E292" s="820"/>
      <c r="F292" s="13">
        <f t="shared" si="28"/>
        <v>0</v>
      </c>
    </row>
    <row r="293" spans="1:6" s="13" customFormat="1" hidden="1" x14ac:dyDescent="0.3">
      <c r="A293" s="1667"/>
      <c r="B293" s="306"/>
      <c r="C293" s="466">
        <f t="shared" si="30"/>
        <v>0</v>
      </c>
      <c r="D293" s="819"/>
      <c r="E293" s="820"/>
      <c r="F293" s="13">
        <f t="shared" si="28"/>
        <v>0</v>
      </c>
    </row>
    <row r="294" spans="1:6" s="13" customFormat="1" hidden="1" x14ac:dyDescent="0.3">
      <c r="A294" s="1667"/>
      <c r="B294" s="306"/>
      <c r="C294" s="466">
        <f t="shared" si="30"/>
        <v>0</v>
      </c>
      <c r="D294" s="819"/>
      <c r="E294" s="820"/>
      <c r="F294" s="13">
        <f t="shared" si="28"/>
        <v>0</v>
      </c>
    </row>
    <row r="295" spans="1:6" ht="66.599999999999994" customHeight="1" x14ac:dyDescent="0.3">
      <c r="A295" s="1673"/>
      <c r="B295" s="1322" t="s">
        <v>740</v>
      </c>
      <c r="C295" s="1614">
        <f>SUM(C285:C294)</f>
        <v>12000</v>
      </c>
      <c r="D295" s="1614">
        <f>SUM(D285:D294)</f>
        <v>0</v>
      </c>
      <c r="E295" s="1615">
        <f>SUM(E285:E294)</f>
        <v>12000</v>
      </c>
      <c r="F295" s="1523">
        <f t="shared" si="28"/>
        <v>24000</v>
      </c>
    </row>
    <row r="296" spans="1:6" s="1313" customFormat="1" ht="56.25" hidden="1" x14ac:dyDescent="0.3">
      <c r="A296" s="1669" t="s">
        <v>1093</v>
      </c>
      <c r="B296" s="1311" t="s">
        <v>1422</v>
      </c>
      <c r="C296" s="1307">
        <f>D296+E296</f>
        <v>0</v>
      </c>
      <c r="D296" s="1307"/>
      <c r="E296" s="1312">
        <f>500000-500000</f>
        <v>0</v>
      </c>
      <c r="F296" s="13">
        <f t="shared" si="28"/>
        <v>0</v>
      </c>
    </row>
    <row r="297" spans="1:6" ht="37.5" x14ac:dyDescent="0.3">
      <c r="A297" s="1667"/>
      <c r="B297" s="1612" t="s">
        <v>1856</v>
      </c>
      <c r="C297" s="1613">
        <f>D297+E297</f>
        <v>24000</v>
      </c>
      <c r="D297" s="1613"/>
      <c r="E297" s="1613">
        <v>24000</v>
      </c>
      <c r="F297" s="1523">
        <f t="shared" si="28"/>
        <v>48000</v>
      </c>
    </row>
    <row r="298" spans="1:6" s="13" customFormat="1" hidden="1" x14ac:dyDescent="0.3">
      <c r="A298" s="1667"/>
      <c r="B298" s="306"/>
      <c r="C298" s="466">
        <f t="shared" ref="C298:C304" si="31">SUM(D298:E298)</f>
        <v>0</v>
      </c>
      <c r="D298" s="819"/>
      <c r="E298" s="820"/>
      <c r="F298" s="13">
        <f t="shared" si="28"/>
        <v>0</v>
      </c>
    </row>
    <row r="299" spans="1:6" s="13" customFormat="1" hidden="1" x14ac:dyDescent="0.3">
      <c r="A299" s="1667"/>
      <c r="B299" s="306"/>
      <c r="C299" s="466">
        <f t="shared" si="31"/>
        <v>0</v>
      </c>
      <c r="D299" s="819"/>
      <c r="E299" s="820"/>
      <c r="F299" s="13">
        <f t="shared" si="28"/>
        <v>0</v>
      </c>
    </row>
    <row r="300" spans="1:6" s="13" customFormat="1" hidden="1" x14ac:dyDescent="0.3">
      <c r="A300" s="1667"/>
      <c r="B300" s="306"/>
      <c r="C300" s="466">
        <f t="shared" si="31"/>
        <v>0</v>
      </c>
      <c r="D300" s="819"/>
      <c r="E300" s="820"/>
      <c r="F300" s="13">
        <f t="shared" si="28"/>
        <v>0</v>
      </c>
    </row>
    <row r="301" spans="1:6" s="13" customFormat="1" hidden="1" x14ac:dyDescent="0.3">
      <c r="A301" s="1667"/>
      <c r="B301" s="306"/>
      <c r="C301" s="466">
        <f t="shared" si="31"/>
        <v>0</v>
      </c>
      <c r="D301" s="819"/>
      <c r="E301" s="820"/>
      <c r="F301" s="13">
        <f t="shared" si="28"/>
        <v>0</v>
      </c>
    </row>
    <row r="302" spans="1:6" s="13" customFormat="1" hidden="1" x14ac:dyDescent="0.3">
      <c r="A302" s="1667"/>
      <c r="B302" s="306"/>
      <c r="C302" s="466">
        <f t="shared" si="31"/>
        <v>0</v>
      </c>
      <c r="D302" s="819"/>
      <c r="E302" s="820"/>
      <c r="F302" s="13">
        <f t="shared" si="28"/>
        <v>0</v>
      </c>
    </row>
    <row r="303" spans="1:6" s="13" customFormat="1" hidden="1" x14ac:dyDescent="0.3">
      <c r="A303" s="1667"/>
      <c r="B303" s="306"/>
      <c r="C303" s="466">
        <f t="shared" si="31"/>
        <v>0</v>
      </c>
      <c r="D303" s="819"/>
      <c r="E303" s="820"/>
      <c r="F303" s="13">
        <f t="shared" si="28"/>
        <v>0</v>
      </c>
    </row>
    <row r="304" spans="1:6" s="13" customFormat="1" hidden="1" x14ac:dyDescent="0.3">
      <c r="A304" s="1667"/>
      <c r="B304" s="306"/>
      <c r="C304" s="466">
        <f t="shared" si="31"/>
        <v>0</v>
      </c>
      <c r="D304" s="819"/>
      <c r="E304" s="820"/>
      <c r="F304" s="13">
        <f t="shared" si="28"/>
        <v>0</v>
      </c>
    </row>
    <row r="305" spans="1:6" ht="66.599999999999994" customHeight="1" x14ac:dyDescent="0.3">
      <c r="A305" s="1673"/>
      <c r="B305" s="1322" t="s">
        <v>740</v>
      </c>
      <c r="C305" s="1614">
        <f>SUM(C296:C304)</f>
        <v>24000</v>
      </c>
      <c r="D305" s="1614">
        <f>SUM(D296:D304)</f>
        <v>0</v>
      </c>
      <c r="E305" s="1615">
        <f>SUM(E296:E304)</f>
        <v>24000</v>
      </c>
      <c r="F305" s="1523">
        <f t="shared" si="28"/>
        <v>48000</v>
      </c>
    </row>
    <row r="306" spans="1:6" ht="168.75" x14ac:dyDescent="0.3">
      <c r="A306" s="1669" t="s">
        <v>1094</v>
      </c>
      <c r="B306" s="1612" t="s">
        <v>2329</v>
      </c>
      <c r="C306" s="1613">
        <f>D306+E306</f>
        <v>59544</v>
      </c>
      <c r="D306" s="1613"/>
      <c r="E306" s="1613">
        <v>59544</v>
      </c>
      <c r="F306" s="1523">
        <f t="shared" si="28"/>
        <v>119088</v>
      </c>
    </row>
    <row r="307" spans="1:6" s="13" customFormat="1" hidden="1" x14ac:dyDescent="0.3">
      <c r="A307" s="1667"/>
      <c r="B307" s="306"/>
      <c r="C307" s="466">
        <f t="shared" ref="C307:C315" si="32">SUM(D307:E307)</f>
        <v>0</v>
      </c>
      <c r="D307" s="819"/>
      <c r="E307" s="820"/>
      <c r="F307" s="13">
        <f t="shared" si="28"/>
        <v>0</v>
      </c>
    </row>
    <row r="308" spans="1:6" s="13" customFormat="1" hidden="1" x14ac:dyDescent="0.3">
      <c r="A308" s="1667"/>
      <c r="B308" s="306"/>
      <c r="C308" s="466">
        <f t="shared" si="32"/>
        <v>0</v>
      </c>
      <c r="D308" s="819"/>
      <c r="E308" s="820"/>
      <c r="F308" s="13">
        <f t="shared" si="28"/>
        <v>0</v>
      </c>
    </row>
    <row r="309" spans="1:6" s="13" customFormat="1" hidden="1" x14ac:dyDescent="0.3">
      <c r="A309" s="1667"/>
      <c r="B309" s="306"/>
      <c r="C309" s="466">
        <f t="shared" si="32"/>
        <v>0</v>
      </c>
      <c r="D309" s="819"/>
      <c r="E309" s="820"/>
      <c r="F309" s="13">
        <f t="shared" si="28"/>
        <v>0</v>
      </c>
    </row>
    <row r="310" spans="1:6" s="13" customFormat="1" hidden="1" x14ac:dyDescent="0.3">
      <c r="A310" s="1667"/>
      <c r="B310" s="306"/>
      <c r="C310" s="466">
        <f t="shared" si="32"/>
        <v>0</v>
      </c>
      <c r="D310" s="819"/>
      <c r="E310" s="820"/>
      <c r="F310" s="13">
        <f t="shared" si="28"/>
        <v>0</v>
      </c>
    </row>
    <row r="311" spans="1:6" s="13" customFormat="1" hidden="1" x14ac:dyDescent="0.3">
      <c r="A311" s="1667"/>
      <c r="B311" s="306"/>
      <c r="C311" s="466">
        <f t="shared" si="32"/>
        <v>0</v>
      </c>
      <c r="D311" s="819"/>
      <c r="E311" s="820"/>
      <c r="F311" s="13">
        <f t="shared" si="28"/>
        <v>0</v>
      </c>
    </row>
    <row r="312" spans="1:6" s="13" customFormat="1" hidden="1" x14ac:dyDescent="0.3">
      <c r="A312" s="1667"/>
      <c r="B312" s="306"/>
      <c r="C312" s="466">
        <f t="shared" si="32"/>
        <v>0</v>
      </c>
      <c r="D312" s="819"/>
      <c r="E312" s="820"/>
      <c r="F312" s="13">
        <f t="shared" si="28"/>
        <v>0</v>
      </c>
    </row>
    <row r="313" spans="1:6" s="13" customFormat="1" hidden="1" x14ac:dyDescent="0.3">
      <c r="A313" s="1667"/>
      <c r="B313" s="306"/>
      <c r="C313" s="466">
        <f t="shared" si="32"/>
        <v>0</v>
      </c>
      <c r="D313" s="819"/>
      <c r="E313" s="820"/>
      <c r="F313" s="13">
        <f t="shared" si="28"/>
        <v>0</v>
      </c>
    </row>
    <row r="314" spans="1:6" s="13" customFormat="1" hidden="1" x14ac:dyDescent="0.3">
      <c r="A314" s="1667"/>
      <c r="B314" s="306"/>
      <c r="C314" s="466">
        <f t="shared" si="32"/>
        <v>0</v>
      </c>
      <c r="D314" s="819"/>
      <c r="E314" s="820"/>
      <c r="F314" s="13">
        <f t="shared" si="28"/>
        <v>0</v>
      </c>
    </row>
    <row r="315" spans="1:6" s="13" customFormat="1" hidden="1" x14ac:dyDescent="0.3">
      <c r="A315" s="1667"/>
      <c r="B315" s="306"/>
      <c r="C315" s="466">
        <f t="shared" si="32"/>
        <v>0</v>
      </c>
      <c r="D315" s="819"/>
      <c r="E315" s="820"/>
      <c r="F315" s="13">
        <f t="shared" si="28"/>
        <v>0</v>
      </c>
    </row>
    <row r="316" spans="1:6" x14ac:dyDescent="0.3">
      <c r="A316" s="1673"/>
      <c r="B316" s="1322" t="s">
        <v>740</v>
      </c>
      <c r="C316" s="1614">
        <f>SUM(C306:C315)</f>
        <v>59544</v>
      </c>
      <c r="D316" s="1614">
        <f>SUM(D306:D315)</f>
        <v>0</v>
      </c>
      <c r="E316" s="1615">
        <f>SUM(E306:E315)</f>
        <v>59544</v>
      </c>
      <c r="F316" s="1523">
        <f t="shared" si="28"/>
        <v>119088</v>
      </c>
    </row>
    <row r="317" spans="1:6" ht="37.5" x14ac:dyDescent="0.3">
      <c r="A317" s="1669" t="s">
        <v>1095</v>
      </c>
      <c r="B317" s="1612" t="s">
        <v>1846</v>
      </c>
      <c r="C317" s="1615">
        <f>D317+E317</f>
        <v>650000</v>
      </c>
      <c r="D317" s="1615"/>
      <c r="E317" s="1615">
        <v>650000</v>
      </c>
      <c r="F317" s="1523">
        <f t="shared" si="28"/>
        <v>1300000</v>
      </c>
    </row>
    <row r="318" spans="1:6" ht="37.5" x14ac:dyDescent="0.3">
      <c r="A318" s="1667"/>
      <c r="B318" s="1612" t="s">
        <v>1847</v>
      </c>
      <c r="C318" s="1615">
        <f>D318+E318</f>
        <v>50000</v>
      </c>
      <c r="D318" s="1615"/>
      <c r="E318" s="1615">
        <v>50000</v>
      </c>
      <c r="F318" s="1523">
        <f t="shared" si="28"/>
        <v>100000</v>
      </c>
    </row>
    <row r="319" spans="1:6" s="13" customFormat="1" hidden="1" x14ac:dyDescent="0.3">
      <c r="A319" s="1667"/>
      <c r="B319" s="306"/>
      <c r="C319" s="466">
        <f t="shared" ref="C319:C326" si="33">SUM(D319:E319)</f>
        <v>0</v>
      </c>
      <c r="D319" s="819"/>
      <c r="E319" s="820"/>
      <c r="F319" s="13">
        <f t="shared" si="28"/>
        <v>0</v>
      </c>
    </row>
    <row r="320" spans="1:6" s="13" customFormat="1" hidden="1" x14ac:dyDescent="0.3">
      <c r="A320" s="1667"/>
      <c r="B320" s="306"/>
      <c r="C320" s="466">
        <f t="shared" si="33"/>
        <v>0</v>
      </c>
      <c r="D320" s="819"/>
      <c r="E320" s="820"/>
      <c r="F320" s="13">
        <f t="shared" si="28"/>
        <v>0</v>
      </c>
    </row>
    <row r="321" spans="1:6" s="13" customFormat="1" hidden="1" x14ac:dyDescent="0.3">
      <c r="A321" s="1667"/>
      <c r="B321" s="306"/>
      <c r="C321" s="466">
        <f t="shared" si="33"/>
        <v>0</v>
      </c>
      <c r="D321" s="819"/>
      <c r="E321" s="820"/>
      <c r="F321" s="13">
        <f t="shared" si="28"/>
        <v>0</v>
      </c>
    </row>
    <row r="322" spans="1:6" s="13" customFormat="1" hidden="1" x14ac:dyDescent="0.3">
      <c r="A322" s="1667"/>
      <c r="B322" s="306"/>
      <c r="C322" s="466">
        <f t="shared" si="33"/>
        <v>0</v>
      </c>
      <c r="D322" s="819"/>
      <c r="E322" s="820"/>
      <c r="F322" s="13">
        <f t="shared" si="28"/>
        <v>0</v>
      </c>
    </row>
    <row r="323" spans="1:6" s="13" customFormat="1" hidden="1" x14ac:dyDescent="0.3">
      <c r="A323" s="1667"/>
      <c r="B323" s="306"/>
      <c r="C323" s="466">
        <f t="shared" si="33"/>
        <v>0</v>
      </c>
      <c r="D323" s="819"/>
      <c r="E323" s="820"/>
      <c r="F323" s="13">
        <f t="shared" si="28"/>
        <v>0</v>
      </c>
    </row>
    <row r="324" spans="1:6" s="13" customFormat="1" hidden="1" x14ac:dyDescent="0.3">
      <c r="A324" s="1667"/>
      <c r="B324" s="306"/>
      <c r="C324" s="466">
        <f t="shared" si="33"/>
        <v>0</v>
      </c>
      <c r="D324" s="819"/>
      <c r="E324" s="820"/>
      <c r="F324" s="13">
        <f t="shared" si="28"/>
        <v>0</v>
      </c>
    </row>
    <row r="325" spans="1:6" s="13" customFormat="1" hidden="1" x14ac:dyDescent="0.3">
      <c r="A325" s="1667"/>
      <c r="B325" s="306"/>
      <c r="C325" s="466">
        <f t="shared" si="33"/>
        <v>0</v>
      </c>
      <c r="D325" s="819"/>
      <c r="E325" s="820"/>
      <c r="F325" s="13">
        <f t="shared" si="28"/>
        <v>0</v>
      </c>
    </row>
    <row r="326" spans="1:6" s="13" customFormat="1" hidden="1" x14ac:dyDescent="0.3">
      <c r="A326" s="1667"/>
      <c r="B326" s="306"/>
      <c r="C326" s="466">
        <f t="shared" si="33"/>
        <v>0</v>
      </c>
      <c r="D326" s="819"/>
      <c r="E326" s="820"/>
      <c r="F326" s="13">
        <f t="shared" si="28"/>
        <v>0</v>
      </c>
    </row>
    <row r="327" spans="1:6" x14ac:dyDescent="0.3">
      <c r="A327" s="1673"/>
      <c r="B327" s="1322" t="s">
        <v>740</v>
      </c>
      <c r="C327" s="1614">
        <f>SUM(C317:C326)</f>
        <v>700000</v>
      </c>
      <c r="D327" s="1614">
        <f>SUM(D317:D326)</f>
        <v>0</v>
      </c>
      <c r="E327" s="1615">
        <f>SUM(E317:E326)</f>
        <v>700000</v>
      </c>
      <c r="F327" s="1523">
        <f t="shared" si="28"/>
        <v>1400000</v>
      </c>
    </row>
    <row r="328" spans="1:6" ht="56.25" x14ac:dyDescent="0.3">
      <c r="A328" s="1669" t="s">
        <v>1096</v>
      </c>
      <c r="B328" s="1322" t="s">
        <v>1418</v>
      </c>
      <c r="C328" s="1613">
        <f>D328+E328</f>
        <v>49900</v>
      </c>
      <c r="D328" s="1613">
        <v>49900</v>
      </c>
      <c r="E328" s="1613"/>
      <c r="F328" s="1523">
        <f t="shared" si="28"/>
        <v>99800</v>
      </c>
    </row>
    <row r="329" spans="1:6" ht="56.25" x14ac:dyDescent="0.3">
      <c r="A329" s="1667"/>
      <c r="B329" s="1322" t="s">
        <v>1419</v>
      </c>
      <c r="C329" s="1613">
        <f>D329+E329</f>
        <v>13400</v>
      </c>
      <c r="D329" s="1613"/>
      <c r="E329" s="1503">
        <v>13400</v>
      </c>
      <c r="F329" s="1523">
        <f t="shared" si="28"/>
        <v>26800</v>
      </c>
    </row>
    <row r="330" spans="1:6" ht="37.5" x14ac:dyDescent="0.3">
      <c r="A330" s="1667"/>
      <c r="B330" s="1612" t="s">
        <v>1912</v>
      </c>
      <c r="C330" s="1613">
        <f>D330+E330</f>
        <v>500000</v>
      </c>
      <c r="D330" s="1613"/>
      <c r="E330" s="1613">
        <f>650000-150000</f>
        <v>500000</v>
      </c>
      <c r="F330" s="1523">
        <f t="shared" ref="F330:F393" si="34">SUM(C330:E330)</f>
        <v>1000000</v>
      </c>
    </row>
    <row r="331" spans="1:6" ht="37.5" x14ac:dyDescent="0.3">
      <c r="A331" s="1667"/>
      <c r="B331" s="1612" t="s">
        <v>1913</v>
      </c>
      <c r="C331" s="1613">
        <f>D331+E331</f>
        <v>72000</v>
      </c>
      <c r="D331" s="1613"/>
      <c r="E331" s="1613">
        <v>72000</v>
      </c>
      <c r="F331" s="1523">
        <f t="shared" si="34"/>
        <v>144000</v>
      </c>
    </row>
    <row r="332" spans="1:6" s="13" customFormat="1" hidden="1" x14ac:dyDescent="0.3">
      <c r="A332" s="1667"/>
      <c r="B332" s="306"/>
      <c r="C332" s="466">
        <f t="shared" ref="C332:C337" si="35">SUM(D332:E332)</f>
        <v>0</v>
      </c>
      <c r="D332" s="819"/>
      <c r="E332" s="820"/>
      <c r="F332" s="13">
        <f t="shared" si="34"/>
        <v>0</v>
      </c>
    </row>
    <row r="333" spans="1:6" s="13" customFormat="1" hidden="1" x14ac:dyDescent="0.3">
      <c r="A333" s="1667"/>
      <c r="B333" s="306"/>
      <c r="C333" s="466">
        <f t="shared" si="35"/>
        <v>0</v>
      </c>
      <c r="D333" s="819"/>
      <c r="E333" s="820"/>
      <c r="F333" s="13">
        <f t="shared" si="34"/>
        <v>0</v>
      </c>
    </row>
    <row r="334" spans="1:6" s="13" customFormat="1" hidden="1" x14ac:dyDescent="0.3">
      <c r="A334" s="1667"/>
      <c r="B334" s="306"/>
      <c r="C334" s="466">
        <f t="shared" si="35"/>
        <v>0</v>
      </c>
      <c r="D334" s="819"/>
      <c r="E334" s="820"/>
      <c r="F334" s="13">
        <f t="shared" si="34"/>
        <v>0</v>
      </c>
    </row>
    <row r="335" spans="1:6" s="13" customFormat="1" hidden="1" x14ac:dyDescent="0.3">
      <c r="A335" s="1667"/>
      <c r="B335" s="306"/>
      <c r="C335" s="466">
        <f t="shared" si="35"/>
        <v>0</v>
      </c>
      <c r="D335" s="819"/>
      <c r="E335" s="820"/>
      <c r="F335" s="13">
        <f t="shared" si="34"/>
        <v>0</v>
      </c>
    </row>
    <row r="336" spans="1:6" s="13" customFormat="1" hidden="1" x14ac:dyDescent="0.3">
      <c r="A336" s="1667"/>
      <c r="B336" s="306"/>
      <c r="C336" s="466">
        <f t="shared" si="35"/>
        <v>0</v>
      </c>
      <c r="D336" s="819"/>
      <c r="E336" s="820"/>
      <c r="F336" s="13">
        <f t="shared" si="34"/>
        <v>0</v>
      </c>
    </row>
    <row r="337" spans="1:6" s="13" customFormat="1" hidden="1" x14ac:dyDescent="0.3">
      <c r="A337" s="1667"/>
      <c r="B337" s="306"/>
      <c r="C337" s="466">
        <f t="shared" si="35"/>
        <v>0</v>
      </c>
      <c r="D337" s="819"/>
      <c r="E337" s="820"/>
      <c r="F337" s="13">
        <f t="shared" si="34"/>
        <v>0</v>
      </c>
    </row>
    <row r="338" spans="1:6" x14ac:dyDescent="0.3">
      <c r="A338" s="1673"/>
      <c r="B338" s="1322" t="s">
        <v>740</v>
      </c>
      <c r="C338" s="1614">
        <f>SUM(C328:C337)</f>
        <v>635300</v>
      </c>
      <c r="D338" s="1614">
        <f>SUM(D328:D337)</f>
        <v>49900</v>
      </c>
      <c r="E338" s="1615">
        <f>SUM(E328:E337)</f>
        <v>585400</v>
      </c>
      <c r="F338" s="1523">
        <f t="shared" si="34"/>
        <v>1270600</v>
      </c>
    </row>
    <row r="339" spans="1:6" ht="188.45" customHeight="1" x14ac:dyDescent="0.3">
      <c r="A339" s="1669" t="s">
        <v>1097</v>
      </c>
      <c r="B339" s="1612" t="s">
        <v>1950</v>
      </c>
      <c r="C339" s="1613">
        <f>D339+E339</f>
        <v>48000</v>
      </c>
      <c r="D339" s="1613"/>
      <c r="E339" s="1613">
        <v>48000</v>
      </c>
      <c r="F339" s="1523">
        <f t="shared" si="34"/>
        <v>96000</v>
      </c>
    </row>
    <row r="340" spans="1:6" s="13" customFormat="1" hidden="1" x14ac:dyDescent="0.3">
      <c r="A340" s="1667"/>
      <c r="B340" s="306"/>
      <c r="C340" s="466">
        <f t="shared" ref="C340:C348" si="36">SUM(D340:E340)</f>
        <v>0</v>
      </c>
      <c r="D340" s="819"/>
      <c r="E340" s="820"/>
      <c r="F340" s="13">
        <f t="shared" si="34"/>
        <v>0</v>
      </c>
    </row>
    <row r="341" spans="1:6" s="13" customFormat="1" hidden="1" x14ac:dyDescent="0.3">
      <c r="A341" s="1667"/>
      <c r="B341" s="306"/>
      <c r="C341" s="466">
        <f t="shared" si="36"/>
        <v>0</v>
      </c>
      <c r="D341" s="819"/>
      <c r="E341" s="820"/>
      <c r="F341" s="13">
        <f t="shared" si="34"/>
        <v>0</v>
      </c>
    </row>
    <row r="342" spans="1:6" s="13" customFormat="1" hidden="1" x14ac:dyDescent="0.3">
      <c r="A342" s="1667"/>
      <c r="B342" s="306"/>
      <c r="C342" s="466">
        <f t="shared" si="36"/>
        <v>0</v>
      </c>
      <c r="D342" s="819"/>
      <c r="E342" s="820"/>
      <c r="F342" s="13">
        <f t="shared" si="34"/>
        <v>0</v>
      </c>
    </row>
    <row r="343" spans="1:6" s="13" customFormat="1" hidden="1" x14ac:dyDescent="0.3">
      <c r="A343" s="1667"/>
      <c r="B343" s="306"/>
      <c r="C343" s="466">
        <f t="shared" si="36"/>
        <v>0</v>
      </c>
      <c r="D343" s="819"/>
      <c r="E343" s="820"/>
      <c r="F343" s="13">
        <f t="shared" si="34"/>
        <v>0</v>
      </c>
    </row>
    <row r="344" spans="1:6" s="13" customFormat="1" hidden="1" x14ac:dyDescent="0.3">
      <c r="A344" s="1667"/>
      <c r="B344" s="306"/>
      <c r="C344" s="466">
        <f t="shared" si="36"/>
        <v>0</v>
      </c>
      <c r="D344" s="819"/>
      <c r="E344" s="820"/>
      <c r="F344" s="13">
        <f t="shared" si="34"/>
        <v>0</v>
      </c>
    </row>
    <row r="345" spans="1:6" s="13" customFormat="1" hidden="1" x14ac:dyDescent="0.3">
      <c r="A345" s="1667"/>
      <c r="B345" s="306"/>
      <c r="C345" s="466">
        <f t="shared" si="36"/>
        <v>0</v>
      </c>
      <c r="D345" s="819"/>
      <c r="E345" s="820"/>
      <c r="F345" s="13">
        <f t="shared" si="34"/>
        <v>0</v>
      </c>
    </row>
    <row r="346" spans="1:6" s="13" customFormat="1" hidden="1" x14ac:dyDescent="0.3">
      <c r="A346" s="1667"/>
      <c r="B346" s="306"/>
      <c r="C346" s="466">
        <f t="shared" si="36"/>
        <v>0</v>
      </c>
      <c r="D346" s="819"/>
      <c r="E346" s="820"/>
      <c r="F346" s="13">
        <f t="shared" si="34"/>
        <v>0</v>
      </c>
    </row>
    <row r="347" spans="1:6" s="13" customFormat="1" hidden="1" x14ac:dyDescent="0.3">
      <c r="A347" s="1667"/>
      <c r="B347" s="306"/>
      <c r="C347" s="466">
        <f t="shared" si="36"/>
        <v>0</v>
      </c>
      <c r="D347" s="819"/>
      <c r="E347" s="820"/>
      <c r="F347" s="13">
        <f t="shared" si="34"/>
        <v>0</v>
      </c>
    </row>
    <row r="348" spans="1:6" s="13" customFormat="1" hidden="1" x14ac:dyDescent="0.3">
      <c r="A348" s="1667"/>
      <c r="B348" s="306"/>
      <c r="C348" s="466">
        <f t="shared" si="36"/>
        <v>0</v>
      </c>
      <c r="D348" s="819"/>
      <c r="E348" s="820"/>
      <c r="F348" s="13">
        <f t="shared" si="34"/>
        <v>0</v>
      </c>
    </row>
    <row r="349" spans="1:6" x14ac:dyDescent="0.3">
      <c r="A349" s="1673"/>
      <c r="B349" s="1322" t="s">
        <v>740</v>
      </c>
      <c r="C349" s="1614">
        <f>SUM(C339:C348)</f>
        <v>48000</v>
      </c>
      <c r="D349" s="1614">
        <f>SUM(D339:D348)</f>
        <v>0</v>
      </c>
      <c r="E349" s="1615">
        <f>SUM(E339:E348)</f>
        <v>48000</v>
      </c>
      <c r="F349" s="1523">
        <f t="shared" si="34"/>
        <v>96000</v>
      </c>
    </row>
    <row r="350" spans="1:6" ht="131.25" x14ac:dyDescent="0.3">
      <c r="A350" s="1669" t="s">
        <v>1098</v>
      </c>
      <c r="B350" s="1612" t="s">
        <v>1874</v>
      </c>
      <c r="C350" s="1613">
        <f>D350+E350</f>
        <v>140000</v>
      </c>
      <c r="D350" s="1613"/>
      <c r="E350" s="1613">
        <v>140000</v>
      </c>
      <c r="F350" s="1523">
        <f t="shared" si="34"/>
        <v>280000</v>
      </c>
    </row>
    <row r="351" spans="1:6" s="13" customFormat="1" hidden="1" x14ac:dyDescent="0.3">
      <c r="A351" s="1667"/>
      <c r="B351" s="306"/>
      <c r="C351" s="466">
        <f t="shared" ref="C351:C359" si="37">SUM(D351:E351)</f>
        <v>0</v>
      </c>
      <c r="D351" s="819"/>
      <c r="E351" s="820"/>
      <c r="F351" s="13">
        <f t="shared" si="34"/>
        <v>0</v>
      </c>
    </row>
    <row r="352" spans="1:6" s="13" customFormat="1" hidden="1" x14ac:dyDescent="0.3">
      <c r="A352" s="1667"/>
      <c r="B352" s="306"/>
      <c r="C352" s="466">
        <f t="shared" si="37"/>
        <v>0</v>
      </c>
      <c r="D352" s="819"/>
      <c r="E352" s="820"/>
      <c r="F352" s="13">
        <f t="shared" si="34"/>
        <v>0</v>
      </c>
    </row>
    <row r="353" spans="1:6" s="13" customFormat="1" hidden="1" x14ac:dyDescent="0.3">
      <c r="A353" s="1667"/>
      <c r="B353" s="306"/>
      <c r="C353" s="466">
        <f t="shared" si="37"/>
        <v>0</v>
      </c>
      <c r="D353" s="819"/>
      <c r="E353" s="820"/>
      <c r="F353" s="13">
        <f t="shared" si="34"/>
        <v>0</v>
      </c>
    </row>
    <row r="354" spans="1:6" s="13" customFormat="1" hidden="1" x14ac:dyDescent="0.3">
      <c r="A354" s="1667"/>
      <c r="B354" s="306"/>
      <c r="C354" s="466">
        <f t="shared" si="37"/>
        <v>0</v>
      </c>
      <c r="D354" s="819"/>
      <c r="E354" s="820"/>
      <c r="F354" s="13">
        <f t="shared" si="34"/>
        <v>0</v>
      </c>
    </row>
    <row r="355" spans="1:6" s="13" customFormat="1" hidden="1" x14ac:dyDescent="0.3">
      <c r="A355" s="1667"/>
      <c r="B355" s="306"/>
      <c r="C355" s="466">
        <f t="shared" si="37"/>
        <v>0</v>
      </c>
      <c r="D355" s="819"/>
      <c r="E355" s="820"/>
      <c r="F355" s="13">
        <f t="shared" si="34"/>
        <v>0</v>
      </c>
    </row>
    <row r="356" spans="1:6" s="13" customFormat="1" hidden="1" x14ac:dyDescent="0.3">
      <c r="A356" s="1667"/>
      <c r="B356" s="306"/>
      <c r="C356" s="466">
        <f t="shared" si="37"/>
        <v>0</v>
      </c>
      <c r="D356" s="819"/>
      <c r="E356" s="820"/>
      <c r="F356" s="13">
        <f t="shared" si="34"/>
        <v>0</v>
      </c>
    </row>
    <row r="357" spans="1:6" s="13" customFormat="1" hidden="1" x14ac:dyDescent="0.3">
      <c r="A357" s="1667"/>
      <c r="B357" s="306"/>
      <c r="C357" s="466">
        <f t="shared" si="37"/>
        <v>0</v>
      </c>
      <c r="D357" s="819"/>
      <c r="E357" s="820"/>
      <c r="F357" s="13">
        <f t="shared" si="34"/>
        <v>0</v>
      </c>
    </row>
    <row r="358" spans="1:6" s="13" customFormat="1" hidden="1" x14ac:dyDescent="0.3">
      <c r="A358" s="1667"/>
      <c r="B358" s="306"/>
      <c r="C358" s="466">
        <f t="shared" si="37"/>
        <v>0</v>
      </c>
      <c r="D358" s="819"/>
      <c r="E358" s="820"/>
      <c r="F358" s="13">
        <f t="shared" si="34"/>
        <v>0</v>
      </c>
    </row>
    <row r="359" spans="1:6" s="13" customFormat="1" hidden="1" x14ac:dyDescent="0.3">
      <c r="A359" s="1667"/>
      <c r="B359" s="306"/>
      <c r="C359" s="466">
        <f t="shared" si="37"/>
        <v>0</v>
      </c>
      <c r="D359" s="819"/>
      <c r="E359" s="820"/>
      <c r="F359" s="13">
        <f t="shared" si="34"/>
        <v>0</v>
      </c>
    </row>
    <row r="360" spans="1:6" x14ac:dyDescent="0.3">
      <c r="A360" s="1673"/>
      <c r="B360" s="1322" t="s">
        <v>740</v>
      </c>
      <c r="C360" s="1614">
        <f>SUM(C350:C359)</f>
        <v>140000</v>
      </c>
      <c r="D360" s="1614">
        <f>SUM(D350:D359)</f>
        <v>0</v>
      </c>
      <c r="E360" s="1615">
        <f>SUM(E350:E359)</f>
        <v>140000</v>
      </c>
      <c r="F360" s="1523">
        <f t="shared" si="34"/>
        <v>280000</v>
      </c>
    </row>
    <row r="361" spans="1:6" ht="75" x14ac:dyDescent="0.3">
      <c r="A361" s="1669" t="s">
        <v>1099</v>
      </c>
      <c r="B361" s="1612" t="s">
        <v>1963</v>
      </c>
      <c r="C361" s="1613">
        <f>D361+E361</f>
        <v>240000</v>
      </c>
      <c r="D361" s="1613"/>
      <c r="E361" s="1613">
        <v>240000</v>
      </c>
      <c r="F361" s="1523">
        <f t="shared" si="34"/>
        <v>480000</v>
      </c>
    </row>
    <row r="362" spans="1:6" s="13" customFormat="1" hidden="1" x14ac:dyDescent="0.3">
      <c r="A362" s="1667"/>
      <c r="B362" s="306"/>
      <c r="C362" s="466">
        <f t="shared" ref="C362:C370" si="38">SUM(D362:E362)</f>
        <v>0</v>
      </c>
      <c r="D362" s="819"/>
      <c r="E362" s="820"/>
      <c r="F362" s="13">
        <f t="shared" si="34"/>
        <v>0</v>
      </c>
    </row>
    <row r="363" spans="1:6" s="13" customFormat="1" hidden="1" x14ac:dyDescent="0.3">
      <c r="A363" s="1667"/>
      <c r="B363" s="306"/>
      <c r="C363" s="466">
        <f t="shared" si="38"/>
        <v>0</v>
      </c>
      <c r="D363" s="819"/>
      <c r="E363" s="820"/>
      <c r="F363" s="13">
        <f t="shared" si="34"/>
        <v>0</v>
      </c>
    </row>
    <row r="364" spans="1:6" s="13" customFormat="1" hidden="1" x14ac:dyDescent="0.3">
      <c r="A364" s="1667"/>
      <c r="B364" s="306"/>
      <c r="C364" s="466">
        <f t="shared" si="38"/>
        <v>0</v>
      </c>
      <c r="D364" s="819"/>
      <c r="E364" s="820"/>
      <c r="F364" s="13">
        <f t="shared" si="34"/>
        <v>0</v>
      </c>
    </row>
    <row r="365" spans="1:6" s="13" customFormat="1" hidden="1" x14ac:dyDescent="0.3">
      <c r="A365" s="1667"/>
      <c r="B365" s="306"/>
      <c r="C365" s="466">
        <f t="shared" si="38"/>
        <v>0</v>
      </c>
      <c r="D365" s="819"/>
      <c r="E365" s="820"/>
      <c r="F365" s="13">
        <f t="shared" si="34"/>
        <v>0</v>
      </c>
    </row>
    <row r="366" spans="1:6" s="13" customFormat="1" hidden="1" x14ac:dyDescent="0.3">
      <c r="A366" s="1667"/>
      <c r="B366" s="306"/>
      <c r="C366" s="466">
        <f t="shared" si="38"/>
        <v>0</v>
      </c>
      <c r="D366" s="819"/>
      <c r="E366" s="820"/>
      <c r="F366" s="13">
        <f t="shared" si="34"/>
        <v>0</v>
      </c>
    </row>
    <row r="367" spans="1:6" s="13" customFormat="1" hidden="1" x14ac:dyDescent="0.3">
      <c r="A367" s="1667"/>
      <c r="B367" s="306"/>
      <c r="C367" s="466">
        <f t="shared" si="38"/>
        <v>0</v>
      </c>
      <c r="D367" s="819"/>
      <c r="E367" s="820"/>
      <c r="F367" s="13">
        <f t="shared" si="34"/>
        <v>0</v>
      </c>
    </row>
    <row r="368" spans="1:6" s="13" customFormat="1" hidden="1" x14ac:dyDescent="0.3">
      <c r="A368" s="1667"/>
      <c r="B368" s="306"/>
      <c r="C368" s="466">
        <f t="shared" si="38"/>
        <v>0</v>
      </c>
      <c r="D368" s="819"/>
      <c r="E368" s="820"/>
      <c r="F368" s="13">
        <f t="shared" si="34"/>
        <v>0</v>
      </c>
    </row>
    <row r="369" spans="1:6" s="13" customFormat="1" hidden="1" x14ac:dyDescent="0.3">
      <c r="A369" s="1667"/>
      <c r="B369" s="306"/>
      <c r="C369" s="466">
        <f t="shared" si="38"/>
        <v>0</v>
      </c>
      <c r="D369" s="819"/>
      <c r="E369" s="820"/>
      <c r="F369" s="13">
        <f t="shared" si="34"/>
        <v>0</v>
      </c>
    </row>
    <row r="370" spans="1:6" s="13" customFormat="1" hidden="1" x14ac:dyDescent="0.3">
      <c r="A370" s="1667"/>
      <c r="B370" s="306"/>
      <c r="C370" s="466">
        <f t="shared" si="38"/>
        <v>0</v>
      </c>
      <c r="D370" s="819"/>
      <c r="E370" s="820"/>
      <c r="F370" s="13">
        <f t="shared" si="34"/>
        <v>0</v>
      </c>
    </row>
    <row r="371" spans="1:6" x14ac:dyDescent="0.3">
      <c r="A371" s="1673"/>
      <c r="B371" s="1322" t="s">
        <v>740</v>
      </c>
      <c r="C371" s="1614">
        <f>SUM(C361:C370)</f>
        <v>240000</v>
      </c>
      <c r="D371" s="1614">
        <f>SUM(D361:D370)</f>
        <v>0</v>
      </c>
      <c r="E371" s="1615">
        <f>SUM(E361:E370)</f>
        <v>240000</v>
      </c>
      <c r="F371" s="1523">
        <f t="shared" si="34"/>
        <v>480000</v>
      </c>
    </row>
    <row r="372" spans="1:6" ht="56.25" x14ac:dyDescent="0.3">
      <c r="A372" s="1669" t="s">
        <v>1100</v>
      </c>
      <c r="B372" s="1612" t="s">
        <v>1957</v>
      </c>
      <c r="C372" s="1613">
        <f>D372+E372</f>
        <v>25000</v>
      </c>
      <c r="D372" s="1613"/>
      <c r="E372" s="1613">
        <v>25000</v>
      </c>
      <c r="F372" s="1523">
        <f t="shared" si="34"/>
        <v>50000</v>
      </c>
    </row>
    <row r="373" spans="1:6" s="13" customFormat="1" hidden="1" x14ac:dyDescent="0.3">
      <c r="A373" s="1667"/>
      <c r="B373" s="306"/>
      <c r="C373" s="466">
        <f t="shared" ref="C373:C381" si="39">SUM(D373:E373)</f>
        <v>0</v>
      </c>
      <c r="D373" s="819"/>
      <c r="E373" s="820"/>
      <c r="F373" s="13">
        <f t="shared" si="34"/>
        <v>0</v>
      </c>
    </row>
    <row r="374" spans="1:6" s="13" customFormat="1" hidden="1" x14ac:dyDescent="0.3">
      <c r="A374" s="1667"/>
      <c r="B374" s="306"/>
      <c r="C374" s="466">
        <f t="shared" si="39"/>
        <v>0</v>
      </c>
      <c r="D374" s="819"/>
      <c r="E374" s="820"/>
      <c r="F374" s="13">
        <f t="shared" si="34"/>
        <v>0</v>
      </c>
    </row>
    <row r="375" spans="1:6" s="13" customFormat="1" hidden="1" x14ac:dyDescent="0.3">
      <c r="A375" s="1667"/>
      <c r="B375" s="306"/>
      <c r="C375" s="466">
        <f t="shared" si="39"/>
        <v>0</v>
      </c>
      <c r="D375" s="819"/>
      <c r="E375" s="820"/>
      <c r="F375" s="13">
        <f t="shared" si="34"/>
        <v>0</v>
      </c>
    </row>
    <row r="376" spans="1:6" s="13" customFormat="1" hidden="1" x14ac:dyDescent="0.3">
      <c r="A376" s="1667"/>
      <c r="B376" s="306"/>
      <c r="C376" s="466">
        <f t="shared" si="39"/>
        <v>0</v>
      </c>
      <c r="D376" s="819"/>
      <c r="E376" s="820"/>
      <c r="F376" s="13">
        <f t="shared" si="34"/>
        <v>0</v>
      </c>
    </row>
    <row r="377" spans="1:6" s="13" customFormat="1" hidden="1" x14ac:dyDescent="0.3">
      <c r="A377" s="1667"/>
      <c r="B377" s="306"/>
      <c r="C377" s="466">
        <f t="shared" si="39"/>
        <v>0</v>
      </c>
      <c r="D377" s="819"/>
      <c r="E377" s="820"/>
      <c r="F377" s="13">
        <f t="shared" si="34"/>
        <v>0</v>
      </c>
    </row>
    <row r="378" spans="1:6" s="13" customFormat="1" hidden="1" x14ac:dyDescent="0.3">
      <c r="A378" s="1667"/>
      <c r="B378" s="306"/>
      <c r="C378" s="466">
        <f t="shared" si="39"/>
        <v>0</v>
      </c>
      <c r="D378" s="819"/>
      <c r="E378" s="820"/>
      <c r="F378" s="13">
        <f t="shared" si="34"/>
        <v>0</v>
      </c>
    </row>
    <row r="379" spans="1:6" s="13" customFormat="1" hidden="1" x14ac:dyDescent="0.3">
      <c r="A379" s="1667"/>
      <c r="B379" s="306"/>
      <c r="C379" s="466">
        <f t="shared" si="39"/>
        <v>0</v>
      </c>
      <c r="D379" s="819"/>
      <c r="E379" s="820"/>
      <c r="F379" s="13">
        <f t="shared" si="34"/>
        <v>0</v>
      </c>
    </row>
    <row r="380" spans="1:6" s="13" customFormat="1" hidden="1" x14ac:dyDescent="0.3">
      <c r="A380" s="1667"/>
      <c r="B380" s="306"/>
      <c r="C380" s="466">
        <f t="shared" si="39"/>
        <v>0</v>
      </c>
      <c r="D380" s="819"/>
      <c r="E380" s="820"/>
      <c r="F380" s="13">
        <f t="shared" si="34"/>
        <v>0</v>
      </c>
    </row>
    <row r="381" spans="1:6" s="13" customFormat="1" hidden="1" x14ac:dyDescent="0.3">
      <c r="A381" s="1667"/>
      <c r="B381" s="306"/>
      <c r="C381" s="466">
        <f t="shared" si="39"/>
        <v>0</v>
      </c>
      <c r="D381" s="819"/>
      <c r="E381" s="820"/>
      <c r="F381" s="13">
        <f t="shared" si="34"/>
        <v>0</v>
      </c>
    </row>
    <row r="382" spans="1:6" x14ac:dyDescent="0.3">
      <c r="A382" s="1673"/>
      <c r="B382" s="1322" t="s">
        <v>740</v>
      </c>
      <c r="C382" s="1614">
        <f>SUM(C372:C381)</f>
        <v>25000</v>
      </c>
      <c r="D382" s="1614">
        <f>SUM(D372:D381)</f>
        <v>0</v>
      </c>
      <c r="E382" s="1615">
        <f>SUM(E372:E381)</f>
        <v>25000</v>
      </c>
      <c r="F382" s="1523">
        <f t="shared" si="34"/>
        <v>50000</v>
      </c>
    </row>
    <row r="383" spans="1:6" x14ac:dyDescent="0.3">
      <c r="A383" s="1669" t="s">
        <v>1101</v>
      </c>
      <c r="B383" s="1612" t="s">
        <v>1860</v>
      </c>
      <c r="C383" s="1613">
        <f>D383+E383</f>
        <v>190032</v>
      </c>
      <c r="D383" s="1613"/>
      <c r="E383" s="1613">
        <f>182000+8032</f>
        <v>190032</v>
      </c>
      <c r="F383" s="1523">
        <f t="shared" si="34"/>
        <v>380064</v>
      </c>
    </row>
    <row r="384" spans="1:6" s="13" customFormat="1" hidden="1" x14ac:dyDescent="0.3">
      <c r="A384" s="1667"/>
      <c r="B384" s="306"/>
      <c r="C384" s="466">
        <f t="shared" ref="C384:C392" si="40">SUM(D384:E384)</f>
        <v>0</v>
      </c>
      <c r="D384" s="819"/>
      <c r="E384" s="820"/>
      <c r="F384" s="13">
        <f t="shared" si="34"/>
        <v>0</v>
      </c>
    </row>
    <row r="385" spans="1:6" s="13" customFormat="1" hidden="1" x14ac:dyDescent="0.3">
      <c r="A385" s="1667"/>
      <c r="B385" s="306"/>
      <c r="C385" s="466">
        <f t="shared" si="40"/>
        <v>0</v>
      </c>
      <c r="D385" s="819"/>
      <c r="E385" s="820"/>
      <c r="F385" s="13">
        <f t="shared" si="34"/>
        <v>0</v>
      </c>
    </row>
    <row r="386" spans="1:6" s="13" customFormat="1" hidden="1" x14ac:dyDescent="0.3">
      <c r="A386" s="1667"/>
      <c r="B386" s="306"/>
      <c r="C386" s="466">
        <f t="shared" si="40"/>
        <v>0</v>
      </c>
      <c r="D386" s="819"/>
      <c r="E386" s="820"/>
      <c r="F386" s="13">
        <f t="shared" si="34"/>
        <v>0</v>
      </c>
    </row>
    <row r="387" spans="1:6" s="13" customFormat="1" hidden="1" x14ac:dyDescent="0.3">
      <c r="A387" s="1667"/>
      <c r="B387" s="306"/>
      <c r="C387" s="466">
        <f t="shared" si="40"/>
        <v>0</v>
      </c>
      <c r="D387" s="819"/>
      <c r="E387" s="820"/>
      <c r="F387" s="13">
        <f t="shared" si="34"/>
        <v>0</v>
      </c>
    </row>
    <row r="388" spans="1:6" s="13" customFormat="1" hidden="1" x14ac:dyDescent="0.3">
      <c r="A388" s="1667"/>
      <c r="B388" s="306"/>
      <c r="C388" s="466">
        <f t="shared" si="40"/>
        <v>0</v>
      </c>
      <c r="D388" s="819"/>
      <c r="E388" s="820"/>
      <c r="F388" s="13">
        <f t="shared" si="34"/>
        <v>0</v>
      </c>
    </row>
    <row r="389" spans="1:6" s="13" customFormat="1" hidden="1" x14ac:dyDescent="0.3">
      <c r="A389" s="1667"/>
      <c r="B389" s="306"/>
      <c r="C389" s="466">
        <f t="shared" si="40"/>
        <v>0</v>
      </c>
      <c r="D389" s="819"/>
      <c r="E389" s="820"/>
      <c r="F389" s="13">
        <f t="shared" si="34"/>
        <v>0</v>
      </c>
    </row>
    <row r="390" spans="1:6" s="13" customFormat="1" hidden="1" x14ac:dyDescent="0.3">
      <c r="A390" s="1667"/>
      <c r="B390" s="306"/>
      <c r="C390" s="466">
        <f t="shared" si="40"/>
        <v>0</v>
      </c>
      <c r="D390" s="819"/>
      <c r="E390" s="820"/>
      <c r="F390" s="13">
        <f t="shared" si="34"/>
        <v>0</v>
      </c>
    </row>
    <row r="391" spans="1:6" s="13" customFormat="1" hidden="1" x14ac:dyDescent="0.3">
      <c r="A391" s="1667"/>
      <c r="B391" s="306"/>
      <c r="C391" s="466">
        <f t="shared" si="40"/>
        <v>0</v>
      </c>
      <c r="D391" s="819"/>
      <c r="E391" s="820"/>
      <c r="F391" s="13">
        <f t="shared" si="34"/>
        <v>0</v>
      </c>
    </row>
    <row r="392" spans="1:6" s="13" customFormat="1" hidden="1" x14ac:dyDescent="0.3">
      <c r="A392" s="1667"/>
      <c r="B392" s="306"/>
      <c r="C392" s="466">
        <f t="shared" si="40"/>
        <v>0</v>
      </c>
      <c r="D392" s="819"/>
      <c r="E392" s="820"/>
      <c r="F392" s="13">
        <f t="shared" si="34"/>
        <v>0</v>
      </c>
    </row>
    <row r="393" spans="1:6" ht="61.15" customHeight="1" x14ac:dyDescent="0.3">
      <c r="A393" s="1673"/>
      <c r="B393" s="1322" t="s">
        <v>740</v>
      </c>
      <c r="C393" s="1614">
        <f>SUM(C383:C392)</f>
        <v>190032</v>
      </c>
      <c r="D393" s="1614">
        <f>SUM(D383:D392)</f>
        <v>0</v>
      </c>
      <c r="E393" s="1615">
        <f>SUM(E383:E392)</f>
        <v>190032</v>
      </c>
      <c r="F393" s="1523">
        <f t="shared" si="34"/>
        <v>380064</v>
      </c>
    </row>
    <row r="394" spans="1:6" ht="112.5" x14ac:dyDescent="0.3">
      <c r="A394" s="1669" t="s">
        <v>1102</v>
      </c>
      <c r="B394" s="1612" t="s">
        <v>1962</v>
      </c>
      <c r="C394" s="1613">
        <f>D394+E394</f>
        <v>78000</v>
      </c>
      <c r="D394" s="1613"/>
      <c r="E394" s="1613">
        <v>78000</v>
      </c>
      <c r="F394" s="1523">
        <f t="shared" ref="F394:F457" si="41">SUM(C394:E394)</f>
        <v>156000</v>
      </c>
    </row>
    <row r="395" spans="1:6" s="13" customFormat="1" hidden="1" x14ac:dyDescent="0.3">
      <c r="A395" s="1667"/>
      <c r="B395" s="306"/>
      <c r="C395" s="466">
        <f t="shared" ref="C395:C403" si="42">SUM(D395:E395)</f>
        <v>0</v>
      </c>
      <c r="D395" s="819"/>
      <c r="E395" s="820"/>
      <c r="F395" s="13">
        <f t="shared" si="41"/>
        <v>0</v>
      </c>
    </row>
    <row r="396" spans="1:6" s="13" customFormat="1" hidden="1" x14ac:dyDescent="0.3">
      <c r="A396" s="1667"/>
      <c r="B396" s="306"/>
      <c r="C396" s="466">
        <f t="shared" si="42"/>
        <v>0</v>
      </c>
      <c r="D396" s="819"/>
      <c r="E396" s="820"/>
      <c r="F396" s="13">
        <f t="shared" si="41"/>
        <v>0</v>
      </c>
    </row>
    <row r="397" spans="1:6" s="13" customFormat="1" hidden="1" x14ac:dyDescent="0.3">
      <c r="A397" s="1667"/>
      <c r="B397" s="306"/>
      <c r="C397" s="466">
        <f t="shared" si="42"/>
        <v>0</v>
      </c>
      <c r="D397" s="819"/>
      <c r="E397" s="820"/>
      <c r="F397" s="13">
        <f t="shared" si="41"/>
        <v>0</v>
      </c>
    </row>
    <row r="398" spans="1:6" s="13" customFormat="1" hidden="1" x14ac:dyDescent="0.3">
      <c r="A398" s="1667"/>
      <c r="B398" s="306"/>
      <c r="C398" s="466">
        <f t="shared" si="42"/>
        <v>0</v>
      </c>
      <c r="D398" s="819"/>
      <c r="E398" s="820"/>
      <c r="F398" s="13">
        <f t="shared" si="41"/>
        <v>0</v>
      </c>
    </row>
    <row r="399" spans="1:6" s="13" customFormat="1" hidden="1" x14ac:dyDescent="0.3">
      <c r="A399" s="1667"/>
      <c r="B399" s="306"/>
      <c r="C399" s="466">
        <f t="shared" si="42"/>
        <v>0</v>
      </c>
      <c r="D399" s="819"/>
      <c r="E399" s="820"/>
      <c r="F399" s="13">
        <f t="shared" si="41"/>
        <v>0</v>
      </c>
    </row>
    <row r="400" spans="1:6" s="13" customFormat="1" hidden="1" x14ac:dyDescent="0.3">
      <c r="A400" s="1667"/>
      <c r="B400" s="306"/>
      <c r="C400" s="466">
        <f t="shared" si="42"/>
        <v>0</v>
      </c>
      <c r="D400" s="819"/>
      <c r="E400" s="820"/>
      <c r="F400" s="13">
        <f t="shared" si="41"/>
        <v>0</v>
      </c>
    </row>
    <row r="401" spans="1:6" s="13" customFormat="1" hidden="1" x14ac:dyDescent="0.3">
      <c r="A401" s="1667"/>
      <c r="B401" s="306"/>
      <c r="C401" s="466">
        <f t="shared" si="42"/>
        <v>0</v>
      </c>
      <c r="D401" s="819"/>
      <c r="E401" s="820"/>
      <c r="F401" s="13">
        <f t="shared" si="41"/>
        <v>0</v>
      </c>
    </row>
    <row r="402" spans="1:6" s="13" customFormat="1" hidden="1" x14ac:dyDescent="0.3">
      <c r="A402" s="1667"/>
      <c r="B402" s="306"/>
      <c r="C402" s="466">
        <f t="shared" si="42"/>
        <v>0</v>
      </c>
      <c r="D402" s="819"/>
      <c r="E402" s="820"/>
      <c r="F402" s="13">
        <f t="shared" si="41"/>
        <v>0</v>
      </c>
    </row>
    <row r="403" spans="1:6" s="13" customFormat="1" hidden="1" x14ac:dyDescent="0.3">
      <c r="A403" s="1667"/>
      <c r="B403" s="306"/>
      <c r="C403" s="466">
        <f t="shared" si="42"/>
        <v>0</v>
      </c>
      <c r="D403" s="819"/>
      <c r="E403" s="820"/>
      <c r="F403" s="13">
        <f t="shared" si="41"/>
        <v>0</v>
      </c>
    </row>
    <row r="404" spans="1:6" x14ac:dyDescent="0.3">
      <c r="A404" s="1673"/>
      <c r="B404" s="1322" t="s">
        <v>740</v>
      </c>
      <c r="C404" s="1614">
        <f>SUM(C394:C403)</f>
        <v>78000</v>
      </c>
      <c r="D404" s="1614">
        <f>SUM(D394:D403)</f>
        <v>0</v>
      </c>
      <c r="E404" s="1615">
        <f>SUM(E394:E403)</f>
        <v>78000</v>
      </c>
      <c r="F404" s="1523">
        <f t="shared" si="41"/>
        <v>156000</v>
      </c>
    </row>
    <row r="405" spans="1:6" ht="37.5" x14ac:dyDescent="0.3">
      <c r="A405" s="1669" t="s">
        <v>1103</v>
      </c>
      <c r="B405" s="1612" t="s">
        <v>2324</v>
      </c>
      <c r="C405" s="1613">
        <f>D405+E405</f>
        <v>118128</v>
      </c>
      <c r="D405" s="1613"/>
      <c r="E405" s="1613">
        <v>118128</v>
      </c>
      <c r="F405" s="1523">
        <f t="shared" si="41"/>
        <v>236256</v>
      </c>
    </row>
    <row r="406" spans="1:6" s="13" customFormat="1" hidden="1" x14ac:dyDescent="0.3">
      <c r="A406" s="1667"/>
      <c r="B406" s="306"/>
      <c r="C406" s="466">
        <f t="shared" ref="C406:C414" si="43">SUM(D406:E406)</f>
        <v>0</v>
      </c>
      <c r="D406" s="819"/>
      <c r="E406" s="820"/>
      <c r="F406" s="13">
        <f t="shared" si="41"/>
        <v>0</v>
      </c>
    </row>
    <row r="407" spans="1:6" s="13" customFormat="1" hidden="1" x14ac:dyDescent="0.3">
      <c r="A407" s="1667"/>
      <c r="B407" s="306"/>
      <c r="C407" s="466">
        <f t="shared" si="43"/>
        <v>0</v>
      </c>
      <c r="D407" s="819"/>
      <c r="E407" s="820"/>
      <c r="F407" s="13">
        <f t="shared" si="41"/>
        <v>0</v>
      </c>
    </row>
    <row r="408" spans="1:6" s="13" customFormat="1" hidden="1" x14ac:dyDescent="0.3">
      <c r="A408" s="1667"/>
      <c r="B408" s="306"/>
      <c r="C408" s="466">
        <f t="shared" si="43"/>
        <v>0</v>
      </c>
      <c r="D408" s="819"/>
      <c r="E408" s="820"/>
      <c r="F408" s="13">
        <f t="shared" si="41"/>
        <v>0</v>
      </c>
    </row>
    <row r="409" spans="1:6" s="13" customFormat="1" hidden="1" x14ac:dyDescent="0.3">
      <c r="A409" s="1667"/>
      <c r="B409" s="306"/>
      <c r="C409" s="466">
        <f t="shared" si="43"/>
        <v>0</v>
      </c>
      <c r="D409" s="819"/>
      <c r="E409" s="820"/>
      <c r="F409" s="13">
        <f t="shared" si="41"/>
        <v>0</v>
      </c>
    </row>
    <row r="410" spans="1:6" s="13" customFormat="1" hidden="1" x14ac:dyDescent="0.3">
      <c r="A410" s="1667"/>
      <c r="B410" s="306"/>
      <c r="C410" s="466">
        <f t="shared" si="43"/>
        <v>0</v>
      </c>
      <c r="D410" s="819"/>
      <c r="E410" s="820"/>
      <c r="F410" s="13">
        <f t="shared" si="41"/>
        <v>0</v>
      </c>
    </row>
    <row r="411" spans="1:6" s="13" customFormat="1" hidden="1" x14ac:dyDescent="0.3">
      <c r="A411" s="1667"/>
      <c r="B411" s="306"/>
      <c r="C411" s="466">
        <f t="shared" si="43"/>
        <v>0</v>
      </c>
      <c r="D411" s="819"/>
      <c r="E411" s="820"/>
      <c r="F411" s="13">
        <f t="shared" si="41"/>
        <v>0</v>
      </c>
    </row>
    <row r="412" spans="1:6" s="13" customFormat="1" hidden="1" x14ac:dyDescent="0.3">
      <c r="A412" s="1667"/>
      <c r="B412" s="306"/>
      <c r="C412" s="466">
        <f t="shared" si="43"/>
        <v>0</v>
      </c>
      <c r="D412" s="819"/>
      <c r="E412" s="820"/>
      <c r="F412" s="13">
        <f t="shared" si="41"/>
        <v>0</v>
      </c>
    </row>
    <row r="413" spans="1:6" s="13" customFormat="1" hidden="1" x14ac:dyDescent="0.3">
      <c r="A413" s="1667"/>
      <c r="B413" s="306"/>
      <c r="C413" s="466">
        <f t="shared" si="43"/>
        <v>0</v>
      </c>
      <c r="D413" s="819"/>
      <c r="E413" s="820"/>
      <c r="F413" s="13">
        <f t="shared" si="41"/>
        <v>0</v>
      </c>
    </row>
    <row r="414" spans="1:6" s="13" customFormat="1" hidden="1" x14ac:dyDescent="0.3">
      <c r="A414" s="1667"/>
      <c r="B414" s="306"/>
      <c r="C414" s="466">
        <f t="shared" si="43"/>
        <v>0</v>
      </c>
      <c r="D414" s="819"/>
      <c r="E414" s="820"/>
      <c r="F414" s="13">
        <f t="shared" si="41"/>
        <v>0</v>
      </c>
    </row>
    <row r="415" spans="1:6" ht="45" customHeight="1" x14ac:dyDescent="0.3">
      <c r="A415" s="1673"/>
      <c r="B415" s="1322" t="s">
        <v>740</v>
      </c>
      <c r="C415" s="1614">
        <f>SUM(C405:C414)</f>
        <v>118128</v>
      </c>
      <c r="D415" s="1614">
        <f>SUM(D405:D414)</f>
        <v>0</v>
      </c>
      <c r="E415" s="1615">
        <f>SUM(E405:E414)</f>
        <v>118128</v>
      </c>
      <c r="F415" s="1523">
        <f t="shared" si="41"/>
        <v>236256</v>
      </c>
    </row>
    <row r="416" spans="1:6" ht="37.5" x14ac:dyDescent="0.3">
      <c r="A416" s="1669" t="s">
        <v>1104</v>
      </c>
      <c r="B416" s="1612" t="s">
        <v>1848</v>
      </c>
      <c r="C416" s="1615">
        <f>D416+E416</f>
        <v>650000</v>
      </c>
      <c r="D416" s="1615"/>
      <c r="E416" s="1615">
        <v>650000</v>
      </c>
      <c r="F416" s="1523">
        <f t="shared" si="41"/>
        <v>1300000</v>
      </c>
    </row>
    <row r="417" spans="1:6" ht="37.5" x14ac:dyDescent="0.3">
      <c r="A417" s="1667"/>
      <c r="B417" s="1612" t="s">
        <v>1857</v>
      </c>
      <c r="C417" s="1613">
        <f>D417+E417</f>
        <v>1218000</v>
      </c>
      <c r="D417" s="1613"/>
      <c r="E417" s="1613">
        <v>1218000</v>
      </c>
      <c r="F417" s="1523">
        <f t="shared" si="41"/>
        <v>2436000</v>
      </c>
    </row>
    <row r="418" spans="1:6" ht="93.75" x14ac:dyDescent="0.3">
      <c r="A418" s="1667"/>
      <c r="B418" s="1612" t="s">
        <v>1924</v>
      </c>
      <c r="C418" s="1613">
        <f>D418+E418</f>
        <v>100000</v>
      </c>
      <c r="D418" s="1613">
        <v>100000</v>
      </c>
      <c r="E418" s="1613"/>
      <c r="F418" s="1523">
        <f t="shared" si="41"/>
        <v>200000</v>
      </c>
    </row>
    <row r="419" spans="1:6" s="13" customFormat="1" hidden="1" x14ac:dyDescent="0.3">
      <c r="A419" s="1667"/>
      <c r="B419" s="306"/>
      <c r="C419" s="466">
        <f t="shared" ref="C419:C425" si="44">SUM(D419:E419)</f>
        <v>0</v>
      </c>
      <c r="D419" s="819"/>
      <c r="E419" s="820"/>
      <c r="F419" s="13">
        <f t="shared" si="41"/>
        <v>0</v>
      </c>
    </row>
    <row r="420" spans="1:6" s="13" customFormat="1" hidden="1" x14ac:dyDescent="0.3">
      <c r="A420" s="1667"/>
      <c r="B420" s="306"/>
      <c r="C420" s="466">
        <f t="shared" si="44"/>
        <v>0</v>
      </c>
      <c r="D420" s="819"/>
      <c r="E420" s="820"/>
      <c r="F420" s="13">
        <f t="shared" si="41"/>
        <v>0</v>
      </c>
    </row>
    <row r="421" spans="1:6" s="13" customFormat="1" hidden="1" x14ac:dyDescent="0.3">
      <c r="A421" s="1667"/>
      <c r="B421" s="306"/>
      <c r="C421" s="466">
        <f t="shared" si="44"/>
        <v>0</v>
      </c>
      <c r="D421" s="819"/>
      <c r="E421" s="820"/>
      <c r="F421" s="13">
        <f t="shared" si="41"/>
        <v>0</v>
      </c>
    </row>
    <row r="422" spans="1:6" s="13" customFormat="1" hidden="1" x14ac:dyDescent="0.3">
      <c r="A422" s="1667"/>
      <c r="B422" s="306"/>
      <c r="C422" s="466">
        <f t="shared" si="44"/>
        <v>0</v>
      </c>
      <c r="D422" s="819"/>
      <c r="E422" s="820"/>
      <c r="F422" s="13">
        <f t="shared" si="41"/>
        <v>0</v>
      </c>
    </row>
    <row r="423" spans="1:6" s="13" customFormat="1" hidden="1" x14ac:dyDescent="0.3">
      <c r="A423" s="1667"/>
      <c r="B423" s="306"/>
      <c r="C423" s="466">
        <f t="shared" si="44"/>
        <v>0</v>
      </c>
      <c r="D423" s="819"/>
      <c r="E423" s="820"/>
      <c r="F423" s="13">
        <f t="shared" si="41"/>
        <v>0</v>
      </c>
    </row>
    <row r="424" spans="1:6" s="13" customFormat="1" hidden="1" x14ac:dyDescent="0.3">
      <c r="A424" s="1667"/>
      <c r="B424" s="306"/>
      <c r="C424" s="466">
        <f t="shared" si="44"/>
        <v>0</v>
      </c>
      <c r="D424" s="819"/>
      <c r="E424" s="820"/>
      <c r="F424" s="13">
        <f t="shared" si="41"/>
        <v>0</v>
      </c>
    </row>
    <row r="425" spans="1:6" s="13" customFormat="1" hidden="1" x14ac:dyDescent="0.3">
      <c r="A425" s="1667"/>
      <c r="B425" s="306"/>
      <c r="C425" s="466">
        <f t="shared" si="44"/>
        <v>0</v>
      </c>
      <c r="D425" s="819"/>
      <c r="E425" s="820"/>
      <c r="F425" s="13">
        <f t="shared" si="41"/>
        <v>0</v>
      </c>
    </row>
    <row r="426" spans="1:6" x14ac:dyDescent="0.3">
      <c r="A426" s="1673"/>
      <c r="B426" s="1322" t="s">
        <v>740</v>
      </c>
      <c r="C426" s="1614">
        <f>SUM(C416:C425)</f>
        <v>1968000</v>
      </c>
      <c r="D426" s="1614">
        <f>SUM(D416:D425)</f>
        <v>100000</v>
      </c>
      <c r="E426" s="1615">
        <f>SUM(E416:E425)</f>
        <v>1868000</v>
      </c>
      <c r="F426" s="1523">
        <f t="shared" si="41"/>
        <v>3936000</v>
      </c>
    </row>
    <row r="427" spans="1:6" ht="75" x14ac:dyDescent="0.3">
      <c r="A427" s="1669" t="s">
        <v>1105</v>
      </c>
      <c r="B427" s="1612" t="s">
        <v>1966</v>
      </c>
      <c r="C427" s="1613">
        <f>D427+E427</f>
        <v>116954</v>
      </c>
      <c r="D427" s="1613"/>
      <c r="E427" s="1613">
        <f>12000+104954</f>
        <v>116954</v>
      </c>
      <c r="F427" s="1523">
        <f t="shared" si="41"/>
        <v>233908</v>
      </c>
    </row>
    <row r="428" spans="1:6" s="13" customFormat="1" hidden="1" x14ac:dyDescent="0.3">
      <c r="A428" s="1667"/>
      <c r="B428" s="306"/>
      <c r="C428" s="466">
        <f t="shared" ref="C428:C436" si="45">SUM(D428:E428)</f>
        <v>0</v>
      </c>
      <c r="D428" s="819"/>
      <c r="E428" s="820"/>
      <c r="F428" s="13">
        <f t="shared" si="41"/>
        <v>0</v>
      </c>
    </row>
    <row r="429" spans="1:6" s="13" customFormat="1" hidden="1" x14ac:dyDescent="0.3">
      <c r="A429" s="1667"/>
      <c r="B429" s="306"/>
      <c r="C429" s="466">
        <f t="shared" si="45"/>
        <v>0</v>
      </c>
      <c r="D429" s="819"/>
      <c r="E429" s="820"/>
      <c r="F429" s="13">
        <f t="shared" si="41"/>
        <v>0</v>
      </c>
    </row>
    <row r="430" spans="1:6" s="13" customFormat="1" hidden="1" x14ac:dyDescent="0.3">
      <c r="A430" s="1667"/>
      <c r="B430" s="306"/>
      <c r="C430" s="466">
        <f t="shared" si="45"/>
        <v>0</v>
      </c>
      <c r="D430" s="819"/>
      <c r="E430" s="820"/>
      <c r="F430" s="13">
        <f t="shared" si="41"/>
        <v>0</v>
      </c>
    </row>
    <row r="431" spans="1:6" s="13" customFormat="1" hidden="1" x14ac:dyDescent="0.3">
      <c r="A431" s="1667"/>
      <c r="B431" s="306"/>
      <c r="C431" s="466">
        <f t="shared" si="45"/>
        <v>0</v>
      </c>
      <c r="D431" s="819"/>
      <c r="E431" s="820"/>
      <c r="F431" s="13">
        <f t="shared" si="41"/>
        <v>0</v>
      </c>
    </row>
    <row r="432" spans="1:6" s="13" customFormat="1" hidden="1" x14ac:dyDescent="0.3">
      <c r="A432" s="1667"/>
      <c r="B432" s="306"/>
      <c r="C432" s="466">
        <f t="shared" si="45"/>
        <v>0</v>
      </c>
      <c r="D432" s="819"/>
      <c r="E432" s="820"/>
      <c r="F432" s="13">
        <f t="shared" si="41"/>
        <v>0</v>
      </c>
    </row>
    <row r="433" spans="1:6" s="13" customFormat="1" hidden="1" x14ac:dyDescent="0.3">
      <c r="A433" s="1667"/>
      <c r="B433" s="306"/>
      <c r="C433" s="466">
        <f t="shared" si="45"/>
        <v>0</v>
      </c>
      <c r="D433" s="819"/>
      <c r="E433" s="820"/>
      <c r="F433" s="13">
        <f t="shared" si="41"/>
        <v>0</v>
      </c>
    </row>
    <row r="434" spans="1:6" s="13" customFormat="1" hidden="1" x14ac:dyDescent="0.3">
      <c r="A434" s="1667"/>
      <c r="B434" s="306"/>
      <c r="C434" s="466">
        <f t="shared" si="45"/>
        <v>0</v>
      </c>
      <c r="D434" s="819"/>
      <c r="E434" s="820"/>
      <c r="F434" s="13">
        <f t="shared" si="41"/>
        <v>0</v>
      </c>
    </row>
    <row r="435" spans="1:6" s="13" customFormat="1" hidden="1" x14ac:dyDescent="0.3">
      <c r="A435" s="1667"/>
      <c r="B435" s="306"/>
      <c r="C435" s="466">
        <f t="shared" si="45"/>
        <v>0</v>
      </c>
      <c r="D435" s="819"/>
      <c r="E435" s="820"/>
      <c r="F435" s="13">
        <f t="shared" si="41"/>
        <v>0</v>
      </c>
    </row>
    <row r="436" spans="1:6" s="13" customFormat="1" hidden="1" x14ac:dyDescent="0.3">
      <c r="A436" s="1667"/>
      <c r="B436" s="306"/>
      <c r="C436" s="466">
        <f t="shared" si="45"/>
        <v>0</v>
      </c>
      <c r="D436" s="819"/>
      <c r="E436" s="820"/>
      <c r="F436" s="13">
        <f t="shared" si="41"/>
        <v>0</v>
      </c>
    </row>
    <row r="437" spans="1:6" x14ac:dyDescent="0.3">
      <c r="A437" s="1673"/>
      <c r="B437" s="1322" t="s">
        <v>740</v>
      </c>
      <c r="C437" s="1614">
        <f>SUM(C427:C436)</f>
        <v>116954</v>
      </c>
      <c r="D437" s="1614">
        <f>SUM(D427:D436)</f>
        <v>0</v>
      </c>
      <c r="E437" s="1615">
        <f>SUM(E427:E436)</f>
        <v>116954</v>
      </c>
      <c r="F437" s="1523">
        <f t="shared" si="41"/>
        <v>233908</v>
      </c>
    </row>
    <row r="438" spans="1:6" ht="56.25" x14ac:dyDescent="0.3">
      <c r="A438" s="1669" t="s">
        <v>1106</v>
      </c>
      <c r="B438" s="1612" t="s">
        <v>1875</v>
      </c>
      <c r="C438" s="1613">
        <f>D438+E438</f>
        <v>132000</v>
      </c>
      <c r="D438" s="1613"/>
      <c r="E438" s="1613">
        <v>132000</v>
      </c>
      <c r="F438" s="1523">
        <f t="shared" si="41"/>
        <v>264000</v>
      </c>
    </row>
    <row r="439" spans="1:6" s="13" customFormat="1" hidden="1" x14ac:dyDescent="0.3">
      <c r="A439" s="1667"/>
      <c r="B439" s="306"/>
      <c r="C439" s="466">
        <f t="shared" ref="C439:C447" si="46">SUM(D439:E439)</f>
        <v>0</v>
      </c>
      <c r="D439" s="819"/>
      <c r="E439" s="820"/>
      <c r="F439" s="13">
        <f t="shared" si="41"/>
        <v>0</v>
      </c>
    </row>
    <row r="440" spans="1:6" s="13" customFormat="1" hidden="1" x14ac:dyDescent="0.3">
      <c r="A440" s="1667"/>
      <c r="B440" s="306"/>
      <c r="C440" s="466">
        <f t="shared" si="46"/>
        <v>0</v>
      </c>
      <c r="D440" s="819"/>
      <c r="E440" s="820"/>
      <c r="F440" s="13">
        <f t="shared" si="41"/>
        <v>0</v>
      </c>
    </row>
    <row r="441" spans="1:6" s="13" customFormat="1" hidden="1" x14ac:dyDescent="0.3">
      <c r="A441" s="1667"/>
      <c r="B441" s="306"/>
      <c r="C441" s="466">
        <f t="shared" si="46"/>
        <v>0</v>
      </c>
      <c r="D441" s="819"/>
      <c r="E441" s="820"/>
      <c r="F441" s="13">
        <f t="shared" si="41"/>
        <v>0</v>
      </c>
    </row>
    <row r="442" spans="1:6" s="13" customFormat="1" hidden="1" x14ac:dyDescent="0.3">
      <c r="A442" s="1667"/>
      <c r="B442" s="306"/>
      <c r="C442" s="466">
        <f t="shared" si="46"/>
        <v>0</v>
      </c>
      <c r="D442" s="819"/>
      <c r="E442" s="820"/>
      <c r="F442" s="13">
        <f t="shared" si="41"/>
        <v>0</v>
      </c>
    </row>
    <row r="443" spans="1:6" s="13" customFormat="1" hidden="1" x14ac:dyDescent="0.3">
      <c r="A443" s="1667"/>
      <c r="B443" s="306"/>
      <c r="C443" s="466">
        <f t="shared" si="46"/>
        <v>0</v>
      </c>
      <c r="D443" s="819"/>
      <c r="E443" s="820"/>
      <c r="F443" s="13">
        <f t="shared" si="41"/>
        <v>0</v>
      </c>
    </row>
    <row r="444" spans="1:6" s="13" customFormat="1" hidden="1" x14ac:dyDescent="0.3">
      <c r="A444" s="1667"/>
      <c r="B444" s="306"/>
      <c r="C444" s="466">
        <f t="shared" si="46"/>
        <v>0</v>
      </c>
      <c r="D444" s="819"/>
      <c r="E444" s="820"/>
      <c r="F444" s="13">
        <f t="shared" si="41"/>
        <v>0</v>
      </c>
    </row>
    <row r="445" spans="1:6" s="13" customFormat="1" hidden="1" x14ac:dyDescent="0.3">
      <c r="A445" s="1667"/>
      <c r="B445" s="306"/>
      <c r="C445" s="466">
        <f t="shared" si="46"/>
        <v>0</v>
      </c>
      <c r="D445" s="819"/>
      <c r="E445" s="820"/>
      <c r="F445" s="13">
        <f t="shared" si="41"/>
        <v>0</v>
      </c>
    </row>
    <row r="446" spans="1:6" s="13" customFormat="1" hidden="1" x14ac:dyDescent="0.3">
      <c r="A446" s="1667"/>
      <c r="B446" s="306"/>
      <c r="C446" s="466">
        <f t="shared" si="46"/>
        <v>0</v>
      </c>
      <c r="D446" s="819"/>
      <c r="E446" s="820"/>
      <c r="F446" s="13">
        <f t="shared" si="41"/>
        <v>0</v>
      </c>
    </row>
    <row r="447" spans="1:6" s="13" customFormat="1" hidden="1" x14ac:dyDescent="0.3">
      <c r="A447" s="1667"/>
      <c r="B447" s="306"/>
      <c r="C447" s="466">
        <f t="shared" si="46"/>
        <v>0</v>
      </c>
      <c r="D447" s="819"/>
      <c r="E447" s="820"/>
      <c r="F447" s="13">
        <f t="shared" si="41"/>
        <v>0</v>
      </c>
    </row>
    <row r="448" spans="1:6" x14ac:dyDescent="0.3">
      <c r="A448" s="1673"/>
      <c r="B448" s="1322" t="s">
        <v>740</v>
      </c>
      <c r="C448" s="1614">
        <f>SUM(C438:C447)</f>
        <v>132000</v>
      </c>
      <c r="D448" s="1614">
        <f>SUM(D438:D447)</f>
        <v>0</v>
      </c>
      <c r="E448" s="1615">
        <f>SUM(E438:E447)</f>
        <v>132000</v>
      </c>
      <c r="F448" s="1523">
        <f t="shared" si="41"/>
        <v>264000</v>
      </c>
    </row>
    <row r="449" spans="1:6" ht="37.5" x14ac:dyDescent="0.3">
      <c r="A449" s="1669" t="s">
        <v>1107</v>
      </c>
      <c r="B449" s="1322" t="s">
        <v>1420</v>
      </c>
      <c r="C449" s="1613">
        <f>D449+E449</f>
        <v>270000</v>
      </c>
      <c r="D449" s="1613">
        <v>270000</v>
      </c>
      <c r="E449" s="1503"/>
      <c r="F449" s="1523">
        <f t="shared" si="41"/>
        <v>540000</v>
      </c>
    </row>
    <row r="450" spans="1:6" ht="56.25" x14ac:dyDescent="0.3">
      <c r="A450" s="1667"/>
      <c r="B450" s="1619" t="s">
        <v>1421</v>
      </c>
      <c r="C450" s="1613">
        <f>D450+E450</f>
        <v>16000</v>
      </c>
      <c r="D450" s="1613">
        <v>16000</v>
      </c>
      <c r="E450" s="1503"/>
      <c r="F450" s="1523">
        <f t="shared" si="41"/>
        <v>32000</v>
      </c>
    </row>
    <row r="451" spans="1:6" ht="37.5" x14ac:dyDescent="0.3">
      <c r="A451" s="1667"/>
      <c r="B451" s="1612" t="s">
        <v>1848</v>
      </c>
      <c r="C451" s="1615">
        <f>D451+E451</f>
        <v>650000</v>
      </c>
      <c r="D451" s="1615"/>
      <c r="E451" s="1615">
        <v>650000</v>
      </c>
      <c r="F451" s="1523">
        <f t="shared" si="41"/>
        <v>1300000</v>
      </c>
    </row>
    <row r="452" spans="1:6" ht="56.25" x14ac:dyDescent="0.3">
      <c r="A452" s="1667"/>
      <c r="B452" s="1612" t="s">
        <v>1858</v>
      </c>
      <c r="C452" s="1613">
        <f>D452+E452</f>
        <v>360000</v>
      </c>
      <c r="D452" s="1613"/>
      <c r="E452" s="1613">
        <v>360000</v>
      </c>
      <c r="F452" s="1523">
        <f t="shared" si="41"/>
        <v>720000</v>
      </c>
    </row>
    <row r="453" spans="1:6" ht="112.5" x14ac:dyDescent="0.3">
      <c r="A453" s="1667"/>
      <c r="B453" s="1612" t="s">
        <v>1959</v>
      </c>
      <c r="C453" s="1613">
        <f>D453+E453</f>
        <v>62000</v>
      </c>
      <c r="D453" s="1613">
        <v>12500</v>
      </c>
      <c r="E453" s="1613">
        <v>49500</v>
      </c>
      <c r="F453" s="1523">
        <f t="shared" si="41"/>
        <v>124000</v>
      </c>
    </row>
    <row r="454" spans="1:6" s="13" customFormat="1" hidden="1" x14ac:dyDescent="0.3">
      <c r="A454" s="1667"/>
      <c r="B454" s="306"/>
      <c r="C454" s="466">
        <f>SUM(D454:E454)</f>
        <v>0</v>
      </c>
      <c r="D454" s="819"/>
      <c r="E454" s="820"/>
      <c r="F454" s="13">
        <f t="shared" si="41"/>
        <v>0</v>
      </c>
    </row>
    <row r="455" spans="1:6" s="13" customFormat="1" hidden="1" x14ac:dyDescent="0.3">
      <c r="A455" s="1667"/>
      <c r="B455" s="306"/>
      <c r="C455" s="466">
        <f>SUM(D455:E455)</f>
        <v>0</v>
      </c>
      <c r="D455" s="819"/>
      <c r="E455" s="820"/>
      <c r="F455" s="13">
        <f t="shared" si="41"/>
        <v>0</v>
      </c>
    </row>
    <row r="456" spans="1:6" s="13" customFormat="1" hidden="1" x14ac:dyDescent="0.3">
      <c r="A456" s="1667"/>
      <c r="B456" s="306"/>
      <c r="C456" s="466">
        <f>SUM(D456:E456)</f>
        <v>0</v>
      </c>
      <c r="D456" s="819"/>
      <c r="E456" s="820"/>
      <c r="F456" s="13">
        <f t="shared" si="41"/>
        <v>0</v>
      </c>
    </row>
    <row r="457" spans="1:6" s="13" customFormat="1" hidden="1" x14ac:dyDescent="0.3">
      <c r="A457" s="1667"/>
      <c r="B457" s="306"/>
      <c r="C457" s="466">
        <f>SUM(D457:E457)</f>
        <v>0</v>
      </c>
      <c r="D457" s="819"/>
      <c r="E457" s="820"/>
      <c r="F457" s="13">
        <f t="shared" si="41"/>
        <v>0</v>
      </c>
    </row>
    <row r="458" spans="1:6" s="13" customFormat="1" hidden="1" x14ac:dyDescent="0.3">
      <c r="A458" s="1667"/>
      <c r="B458" s="306"/>
      <c r="C458" s="466">
        <f>SUM(D458:E458)</f>
        <v>0</v>
      </c>
      <c r="D458" s="819"/>
      <c r="E458" s="820"/>
      <c r="F458" s="13">
        <f t="shared" ref="F458:F521" si="47">SUM(C458:E458)</f>
        <v>0</v>
      </c>
    </row>
    <row r="459" spans="1:6" x14ac:dyDescent="0.3">
      <c r="A459" s="1673"/>
      <c r="B459" s="1322" t="s">
        <v>740</v>
      </c>
      <c r="C459" s="1614">
        <f>SUM(C449:C458)</f>
        <v>1358000</v>
      </c>
      <c r="D459" s="1614">
        <f>SUM(D449:D458)</f>
        <v>298500</v>
      </c>
      <c r="E459" s="1615">
        <f>SUM(E449:E458)</f>
        <v>1059500</v>
      </c>
      <c r="F459" s="1523">
        <f t="shared" si="47"/>
        <v>2716000</v>
      </c>
    </row>
    <row r="460" spans="1:6" ht="168.75" x14ac:dyDescent="0.3">
      <c r="A460" s="1669" t="s">
        <v>1108</v>
      </c>
      <c r="B460" s="1612" t="s">
        <v>2325</v>
      </c>
      <c r="C460" s="1613">
        <f>D460+E460</f>
        <v>292000</v>
      </c>
      <c r="D460" s="1613"/>
      <c r="E460" s="1613">
        <v>292000</v>
      </c>
      <c r="F460" s="1523">
        <f t="shared" si="47"/>
        <v>584000</v>
      </c>
    </row>
    <row r="461" spans="1:6" s="13" customFormat="1" hidden="1" x14ac:dyDescent="0.3">
      <c r="A461" s="1667"/>
      <c r="B461" s="306"/>
      <c r="C461" s="466">
        <f t="shared" ref="C461:C469" si="48">SUM(D461:E461)</f>
        <v>0</v>
      </c>
      <c r="D461" s="819"/>
      <c r="E461" s="820"/>
      <c r="F461" s="13">
        <f t="shared" si="47"/>
        <v>0</v>
      </c>
    </row>
    <row r="462" spans="1:6" s="13" customFormat="1" hidden="1" x14ac:dyDescent="0.3">
      <c r="A462" s="1667"/>
      <c r="B462" s="306"/>
      <c r="C462" s="466">
        <f t="shared" si="48"/>
        <v>0</v>
      </c>
      <c r="D462" s="819"/>
      <c r="E462" s="820"/>
      <c r="F462" s="13">
        <f t="shared" si="47"/>
        <v>0</v>
      </c>
    </row>
    <row r="463" spans="1:6" s="13" customFormat="1" hidden="1" x14ac:dyDescent="0.3">
      <c r="A463" s="1667"/>
      <c r="B463" s="306"/>
      <c r="C463" s="466">
        <f t="shared" si="48"/>
        <v>0</v>
      </c>
      <c r="D463" s="819"/>
      <c r="E463" s="820"/>
      <c r="F463" s="13">
        <f t="shared" si="47"/>
        <v>0</v>
      </c>
    </row>
    <row r="464" spans="1:6" s="13" customFormat="1" hidden="1" x14ac:dyDescent="0.3">
      <c r="A464" s="1667"/>
      <c r="B464" s="306"/>
      <c r="C464" s="466">
        <f t="shared" si="48"/>
        <v>0</v>
      </c>
      <c r="D464" s="819"/>
      <c r="E464" s="820"/>
      <c r="F464" s="13">
        <f t="shared" si="47"/>
        <v>0</v>
      </c>
    </row>
    <row r="465" spans="1:6" s="13" customFormat="1" hidden="1" x14ac:dyDescent="0.3">
      <c r="A465" s="1667"/>
      <c r="B465" s="306"/>
      <c r="C465" s="466">
        <f t="shared" si="48"/>
        <v>0</v>
      </c>
      <c r="D465" s="819"/>
      <c r="E465" s="820"/>
      <c r="F465" s="13">
        <f t="shared" si="47"/>
        <v>0</v>
      </c>
    </row>
    <row r="466" spans="1:6" s="13" customFormat="1" hidden="1" x14ac:dyDescent="0.3">
      <c r="A466" s="1667"/>
      <c r="B466" s="306"/>
      <c r="C466" s="466">
        <f t="shared" si="48"/>
        <v>0</v>
      </c>
      <c r="D466" s="819"/>
      <c r="E466" s="820"/>
      <c r="F466" s="13">
        <f t="shared" si="47"/>
        <v>0</v>
      </c>
    </row>
    <row r="467" spans="1:6" s="13" customFormat="1" hidden="1" x14ac:dyDescent="0.3">
      <c r="A467" s="1667"/>
      <c r="B467" s="306"/>
      <c r="C467" s="466">
        <f t="shared" si="48"/>
        <v>0</v>
      </c>
      <c r="D467" s="819"/>
      <c r="E467" s="820"/>
      <c r="F467" s="13">
        <f t="shared" si="47"/>
        <v>0</v>
      </c>
    </row>
    <row r="468" spans="1:6" s="13" customFormat="1" hidden="1" x14ac:dyDescent="0.3">
      <c r="A468" s="1667"/>
      <c r="B468" s="306"/>
      <c r="C468" s="466">
        <f t="shared" si="48"/>
        <v>0</v>
      </c>
      <c r="D468" s="819"/>
      <c r="E468" s="820"/>
      <c r="F468" s="13">
        <f t="shared" si="47"/>
        <v>0</v>
      </c>
    </row>
    <row r="469" spans="1:6" s="13" customFormat="1" hidden="1" x14ac:dyDescent="0.3">
      <c r="A469" s="1667"/>
      <c r="B469" s="306"/>
      <c r="C469" s="466">
        <f t="shared" si="48"/>
        <v>0</v>
      </c>
      <c r="D469" s="819"/>
      <c r="E469" s="820"/>
      <c r="F469" s="13">
        <f t="shared" si="47"/>
        <v>0</v>
      </c>
    </row>
    <row r="470" spans="1:6" x14ac:dyDescent="0.3">
      <c r="A470" s="1673"/>
      <c r="B470" s="1322" t="s">
        <v>740</v>
      </c>
      <c r="C470" s="1614">
        <f>SUM(C460:C469)</f>
        <v>292000</v>
      </c>
      <c r="D470" s="1614">
        <f>SUM(D460:D469)</f>
        <v>0</v>
      </c>
      <c r="E470" s="1615">
        <f>SUM(E460:E469)</f>
        <v>292000</v>
      </c>
      <c r="F470" s="1523">
        <f t="shared" si="47"/>
        <v>584000</v>
      </c>
    </row>
    <row r="471" spans="1:6" ht="112.5" x14ac:dyDescent="0.3">
      <c r="A471" s="1669" t="s">
        <v>1109</v>
      </c>
      <c r="B471" s="1612" t="s">
        <v>2335</v>
      </c>
      <c r="C471" s="1613">
        <f>D471+E471</f>
        <v>96000</v>
      </c>
      <c r="D471" s="1613"/>
      <c r="E471" s="1613">
        <v>96000</v>
      </c>
      <c r="F471" s="1523">
        <f t="shared" si="47"/>
        <v>192000</v>
      </c>
    </row>
    <row r="472" spans="1:6" s="13" customFormat="1" hidden="1" x14ac:dyDescent="0.3">
      <c r="A472" s="1667"/>
      <c r="B472" s="306"/>
      <c r="C472" s="466">
        <f t="shared" ref="C472:C480" si="49">SUM(D472:E472)</f>
        <v>0</v>
      </c>
      <c r="D472" s="819"/>
      <c r="E472" s="820"/>
      <c r="F472" s="13">
        <f t="shared" si="47"/>
        <v>0</v>
      </c>
    </row>
    <row r="473" spans="1:6" s="13" customFormat="1" hidden="1" x14ac:dyDescent="0.3">
      <c r="A473" s="1667"/>
      <c r="B473" s="306"/>
      <c r="C473" s="466">
        <f t="shared" si="49"/>
        <v>0</v>
      </c>
      <c r="D473" s="819"/>
      <c r="E473" s="820"/>
      <c r="F473" s="13">
        <f t="shared" si="47"/>
        <v>0</v>
      </c>
    </row>
    <row r="474" spans="1:6" s="13" customFormat="1" hidden="1" x14ac:dyDescent="0.3">
      <c r="A474" s="1667"/>
      <c r="B474" s="306"/>
      <c r="C474" s="466">
        <f t="shared" si="49"/>
        <v>0</v>
      </c>
      <c r="D474" s="819"/>
      <c r="E474" s="820"/>
      <c r="F474" s="13">
        <f t="shared" si="47"/>
        <v>0</v>
      </c>
    </row>
    <row r="475" spans="1:6" s="13" customFormat="1" hidden="1" x14ac:dyDescent="0.3">
      <c r="A475" s="1667"/>
      <c r="B475" s="306"/>
      <c r="C475" s="466">
        <f t="shared" si="49"/>
        <v>0</v>
      </c>
      <c r="D475" s="819"/>
      <c r="E475" s="820"/>
      <c r="F475" s="13">
        <f t="shared" si="47"/>
        <v>0</v>
      </c>
    </row>
    <row r="476" spans="1:6" s="13" customFormat="1" hidden="1" x14ac:dyDescent="0.3">
      <c r="A476" s="1667"/>
      <c r="B476" s="306"/>
      <c r="C476" s="466">
        <f t="shared" si="49"/>
        <v>0</v>
      </c>
      <c r="D476" s="819"/>
      <c r="E476" s="820"/>
      <c r="F476" s="13">
        <f t="shared" si="47"/>
        <v>0</v>
      </c>
    </row>
    <row r="477" spans="1:6" s="13" customFormat="1" hidden="1" x14ac:dyDescent="0.3">
      <c r="A477" s="1667"/>
      <c r="B477" s="306"/>
      <c r="C477" s="466">
        <f t="shared" si="49"/>
        <v>0</v>
      </c>
      <c r="D477" s="819"/>
      <c r="E477" s="820"/>
      <c r="F477" s="13">
        <f t="shared" si="47"/>
        <v>0</v>
      </c>
    </row>
    <row r="478" spans="1:6" s="13" customFormat="1" hidden="1" x14ac:dyDescent="0.3">
      <c r="A478" s="1667"/>
      <c r="B478" s="306"/>
      <c r="C478" s="466">
        <f t="shared" si="49"/>
        <v>0</v>
      </c>
      <c r="D478" s="819"/>
      <c r="E478" s="820"/>
      <c r="F478" s="13">
        <f t="shared" si="47"/>
        <v>0</v>
      </c>
    </row>
    <row r="479" spans="1:6" s="13" customFormat="1" hidden="1" x14ac:dyDescent="0.3">
      <c r="A479" s="1667"/>
      <c r="B479" s="306"/>
      <c r="C479" s="466">
        <f t="shared" si="49"/>
        <v>0</v>
      </c>
      <c r="D479" s="819"/>
      <c r="E479" s="820"/>
      <c r="F479" s="13">
        <f t="shared" si="47"/>
        <v>0</v>
      </c>
    </row>
    <row r="480" spans="1:6" s="13" customFormat="1" hidden="1" x14ac:dyDescent="0.3">
      <c r="A480" s="1667"/>
      <c r="B480" s="306"/>
      <c r="C480" s="466">
        <f t="shared" si="49"/>
        <v>0</v>
      </c>
      <c r="D480" s="819"/>
      <c r="E480" s="820"/>
      <c r="F480" s="13">
        <f t="shared" si="47"/>
        <v>0</v>
      </c>
    </row>
    <row r="481" spans="1:6" x14ac:dyDescent="0.3">
      <c r="A481" s="1673"/>
      <c r="B481" s="1322" t="s">
        <v>740</v>
      </c>
      <c r="C481" s="1614">
        <f>SUM(C471:C480)</f>
        <v>96000</v>
      </c>
      <c r="D481" s="1614">
        <f>SUM(D471:D480)</f>
        <v>0</v>
      </c>
      <c r="E481" s="1615">
        <f>SUM(E471:E480)</f>
        <v>96000</v>
      </c>
      <c r="F481" s="1523">
        <f t="shared" si="47"/>
        <v>192000</v>
      </c>
    </row>
    <row r="482" spans="1:6" s="13" customFormat="1" hidden="1" x14ac:dyDescent="0.3">
      <c r="A482" s="1669" t="s">
        <v>1110</v>
      </c>
      <c r="B482" s="306"/>
      <c r="C482" s="466">
        <f>SUM(D482:E482)</f>
        <v>0</v>
      </c>
      <c r="D482" s="819"/>
      <c r="E482" s="820"/>
      <c r="F482" s="13">
        <f t="shared" si="47"/>
        <v>0</v>
      </c>
    </row>
    <row r="483" spans="1:6" s="13" customFormat="1" hidden="1" x14ac:dyDescent="0.3">
      <c r="A483" s="1667"/>
      <c r="B483" s="306"/>
      <c r="C483" s="466">
        <f t="shared" ref="C483:C491" si="50">SUM(D483:E483)</f>
        <v>0</v>
      </c>
      <c r="D483" s="819"/>
      <c r="E483" s="820"/>
      <c r="F483" s="13">
        <f t="shared" si="47"/>
        <v>0</v>
      </c>
    </row>
    <row r="484" spans="1:6" s="13" customFormat="1" hidden="1" x14ac:dyDescent="0.3">
      <c r="A484" s="1667"/>
      <c r="B484" s="306"/>
      <c r="C484" s="466">
        <f t="shared" si="50"/>
        <v>0</v>
      </c>
      <c r="D484" s="819"/>
      <c r="E484" s="820"/>
      <c r="F484" s="13">
        <f t="shared" si="47"/>
        <v>0</v>
      </c>
    </row>
    <row r="485" spans="1:6" s="13" customFormat="1" hidden="1" x14ac:dyDescent="0.3">
      <c r="A485" s="1667"/>
      <c r="B485" s="306"/>
      <c r="C485" s="466">
        <f t="shared" si="50"/>
        <v>0</v>
      </c>
      <c r="D485" s="819"/>
      <c r="E485" s="820"/>
      <c r="F485" s="13">
        <f t="shared" si="47"/>
        <v>0</v>
      </c>
    </row>
    <row r="486" spans="1:6" s="13" customFormat="1" hidden="1" x14ac:dyDescent="0.3">
      <c r="A486" s="1667"/>
      <c r="B486" s="306"/>
      <c r="C486" s="466">
        <f t="shared" si="50"/>
        <v>0</v>
      </c>
      <c r="D486" s="819"/>
      <c r="E486" s="820"/>
      <c r="F486" s="13">
        <f t="shared" si="47"/>
        <v>0</v>
      </c>
    </row>
    <row r="487" spans="1:6" s="13" customFormat="1" hidden="1" x14ac:dyDescent="0.3">
      <c r="A487" s="1667"/>
      <c r="B487" s="306"/>
      <c r="C487" s="466">
        <f t="shared" si="50"/>
        <v>0</v>
      </c>
      <c r="D487" s="819"/>
      <c r="E487" s="820"/>
      <c r="F487" s="13">
        <f t="shared" si="47"/>
        <v>0</v>
      </c>
    </row>
    <row r="488" spans="1:6" s="13" customFormat="1" hidden="1" x14ac:dyDescent="0.3">
      <c r="A488" s="1667"/>
      <c r="B488" s="306"/>
      <c r="C488" s="466">
        <f t="shared" si="50"/>
        <v>0</v>
      </c>
      <c r="D488" s="819"/>
      <c r="E488" s="820"/>
      <c r="F488" s="13">
        <f t="shared" si="47"/>
        <v>0</v>
      </c>
    </row>
    <row r="489" spans="1:6" s="13" customFormat="1" hidden="1" x14ac:dyDescent="0.3">
      <c r="A489" s="1667"/>
      <c r="B489" s="306"/>
      <c r="C489" s="466">
        <f t="shared" si="50"/>
        <v>0</v>
      </c>
      <c r="D489" s="819"/>
      <c r="E489" s="820"/>
      <c r="F489" s="13">
        <f t="shared" si="47"/>
        <v>0</v>
      </c>
    </row>
    <row r="490" spans="1:6" s="13" customFormat="1" hidden="1" x14ac:dyDescent="0.3">
      <c r="A490" s="1667"/>
      <c r="B490" s="306"/>
      <c r="C490" s="466">
        <f t="shared" si="50"/>
        <v>0</v>
      </c>
      <c r="D490" s="819"/>
      <c r="E490" s="820"/>
      <c r="F490" s="13">
        <f t="shared" si="47"/>
        <v>0</v>
      </c>
    </row>
    <row r="491" spans="1:6" s="13" customFormat="1" hidden="1" x14ac:dyDescent="0.3">
      <c r="A491" s="1667"/>
      <c r="B491" s="306"/>
      <c r="C491" s="466">
        <f t="shared" si="50"/>
        <v>0</v>
      </c>
      <c r="D491" s="819"/>
      <c r="E491" s="820"/>
      <c r="F491" s="13">
        <f t="shared" si="47"/>
        <v>0</v>
      </c>
    </row>
    <row r="492" spans="1:6" s="13" customFormat="1" hidden="1" x14ac:dyDescent="0.3">
      <c r="A492" s="1673"/>
      <c r="B492" s="306" t="s">
        <v>740</v>
      </c>
      <c r="C492" s="466">
        <f>SUM(C482:C491)</f>
        <v>0</v>
      </c>
      <c r="D492" s="466">
        <f>SUM(D482:D491)</f>
        <v>0</v>
      </c>
      <c r="E492" s="599">
        <f>SUM(E482:E491)</f>
        <v>0</v>
      </c>
      <c r="F492" s="13">
        <f t="shared" si="47"/>
        <v>0</v>
      </c>
    </row>
    <row r="493" spans="1:6" ht="37.5" x14ac:dyDescent="0.3">
      <c r="A493" s="1669" t="s">
        <v>1111</v>
      </c>
      <c r="B493" s="1612" t="s">
        <v>2337</v>
      </c>
      <c r="C493" s="1613">
        <f>D493+E493</f>
        <v>11909</v>
      </c>
      <c r="D493" s="1613"/>
      <c r="E493" s="1613">
        <v>11909</v>
      </c>
      <c r="F493" s="1523">
        <f t="shared" si="47"/>
        <v>23818</v>
      </c>
    </row>
    <row r="494" spans="1:6" s="13" customFormat="1" hidden="1" x14ac:dyDescent="0.3">
      <c r="A494" s="1667"/>
      <c r="B494" s="306"/>
      <c r="C494" s="466">
        <f t="shared" ref="C494:C502" si="51">SUM(D494:E494)</f>
        <v>0</v>
      </c>
      <c r="D494" s="819"/>
      <c r="E494" s="820"/>
      <c r="F494" s="13">
        <f t="shared" si="47"/>
        <v>0</v>
      </c>
    </row>
    <row r="495" spans="1:6" s="13" customFormat="1" hidden="1" x14ac:dyDescent="0.3">
      <c r="A495" s="1667"/>
      <c r="B495" s="306"/>
      <c r="C495" s="466">
        <f t="shared" si="51"/>
        <v>0</v>
      </c>
      <c r="D495" s="819"/>
      <c r="E495" s="820"/>
      <c r="F495" s="13">
        <f t="shared" si="47"/>
        <v>0</v>
      </c>
    </row>
    <row r="496" spans="1:6" s="13" customFormat="1" hidden="1" x14ac:dyDescent="0.3">
      <c r="A496" s="1667"/>
      <c r="B496" s="306"/>
      <c r="C496" s="466">
        <f t="shared" si="51"/>
        <v>0</v>
      </c>
      <c r="D496" s="819"/>
      <c r="E496" s="820"/>
      <c r="F496" s="13">
        <f t="shared" si="47"/>
        <v>0</v>
      </c>
    </row>
    <row r="497" spans="1:6" s="13" customFormat="1" hidden="1" x14ac:dyDescent="0.3">
      <c r="A497" s="1667"/>
      <c r="B497" s="306"/>
      <c r="C497" s="466">
        <f t="shared" si="51"/>
        <v>0</v>
      </c>
      <c r="D497" s="819"/>
      <c r="E497" s="820"/>
      <c r="F497" s="13">
        <f t="shared" si="47"/>
        <v>0</v>
      </c>
    </row>
    <row r="498" spans="1:6" s="13" customFormat="1" hidden="1" x14ac:dyDescent="0.3">
      <c r="A498" s="1667"/>
      <c r="B498" s="306"/>
      <c r="C498" s="466">
        <f t="shared" si="51"/>
        <v>0</v>
      </c>
      <c r="D498" s="819"/>
      <c r="E498" s="820"/>
      <c r="F498" s="13">
        <f t="shared" si="47"/>
        <v>0</v>
      </c>
    </row>
    <row r="499" spans="1:6" s="13" customFormat="1" hidden="1" x14ac:dyDescent="0.3">
      <c r="A499" s="1667"/>
      <c r="B499" s="306"/>
      <c r="C499" s="466">
        <f t="shared" si="51"/>
        <v>0</v>
      </c>
      <c r="D499" s="819"/>
      <c r="E499" s="820"/>
      <c r="F499" s="13">
        <f t="shared" si="47"/>
        <v>0</v>
      </c>
    </row>
    <row r="500" spans="1:6" s="13" customFormat="1" hidden="1" x14ac:dyDescent="0.3">
      <c r="A500" s="1667"/>
      <c r="B500" s="306"/>
      <c r="C500" s="466">
        <f t="shared" si="51"/>
        <v>0</v>
      </c>
      <c r="D500" s="819"/>
      <c r="E500" s="820"/>
      <c r="F500" s="13">
        <f t="shared" si="47"/>
        <v>0</v>
      </c>
    </row>
    <row r="501" spans="1:6" s="13" customFormat="1" hidden="1" x14ac:dyDescent="0.3">
      <c r="A501" s="1667"/>
      <c r="B501" s="306"/>
      <c r="C501" s="466">
        <f t="shared" si="51"/>
        <v>0</v>
      </c>
      <c r="D501" s="819"/>
      <c r="E501" s="820"/>
      <c r="F501" s="13">
        <f t="shared" si="47"/>
        <v>0</v>
      </c>
    </row>
    <row r="502" spans="1:6" s="13" customFormat="1" hidden="1" x14ac:dyDescent="0.3">
      <c r="A502" s="1667"/>
      <c r="B502" s="306"/>
      <c r="C502" s="466">
        <f t="shared" si="51"/>
        <v>0</v>
      </c>
      <c r="D502" s="819"/>
      <c r="E502" s="820"/>
      <c r="F502" s="13">
        <f t="shared" si="47"/>
        <v>0</v>
      </c>
    </row>
    <row r="503" spans="1:6" ht="76.150000000000006" customHeight="1" x14ac:dyDescent="0.3">
      <c r="A503" s="1673"/>
      <c r="B503" s="1322" t="s">
        <v>740</v>
      </c>
      <c r="C503" s="1614">
        <f>SUM(C493:C502)</f>
        <v>11909</v>
      </c>
      <c r="D503" s="1614">
        <f>SUM(D493:D502)</f>
        <v>0</v>
      </c>
      <c r="E503" s="1615">
        <f>SUM(E493:E502)</f>
        <v>11909</v>
      </c>
      <c r="F503" s="1523">
        <f t="shared" si="47"/>
        <v>23818</v>
      </c>
    </row>
    <row r="504" spans="1:6" ht="37.5" x14ac:dyDescent="0.3">
      <c r="A504" s="1669" t="s">
        <v>1112</v>
      </c>
      <c r="B504" s="1612" t="s">
        <v>1847</v>
      </c>
      <c r="C504" s="1615">
        <f>D504+E504</f>
        <v>50000</v>
      </c>
      <c r="D504" s="1615"/>
      <c r="E504" s="1615">
        <v>50000</v>
      </c>
      <c r="F504" s="1523">
        <f t="shared" si="47"/>
        <v>100000</v>
      </c>
    </row>
    <row r="505" spans="1:6" s="13" customFormat="1" hidden="1" x14ac:dyDescent="0.3">
      <c r="A505" s="1667"/>
      <c r="B505" s="306"/>
      <c r="C505" s="466">
        <f t="shared" ref="C505:C513" si="52">SUM(D505:E505)</f>
        <v>0</v>
      </c>
      <c r="D505" s="819"/>
      <c r="E505" s="820"/>
      <c r="F505" s="13">
        <f t="shared" si="47"/>
        <v>0</v>
      </c>
    </row>
    <row r="506" spans="1:6" s="13" customFormat="1" hidden="1" x14ac:dyDescent="0.3">
      <c r="A506" s="1667"/>
      <c r="B506" s="306"/>
      <c r="C506" s="466">
        <f t="shared" si="52"/>
        <v>0</v>
      </c>
      <c r="D506" s="819"/>
      <c r="E506" s="820"/>
      <c r="F506" s="13">
        <f t="shared" si="47"/>
        <v>0</v>
      </c>
    </row>
    <row r="507" spans="1:6" s="13" customFormat="1" hidden="1" x14ac:dyDescent="0.3">
      <c r="A507" s="1667"/>
      <c r="B507" s="306"/>
      <c r="C507" s="466">
        <f t="shared" si="52"/>
        <v>0</v>
      </c>
      <c r="D507" s="819"/>
      <c r="E507" s="820"/>
      <c r="F507" s="13">
        <f t="shared" si="47"/>
        <v>0</v>
      </c>
    </row>
    <row r="508" spans="1:6" s="13" customFormat="1" hidden="1" x14ac:dyDescent="0.3">
      <c r="A508" s="1667"/>
      <c r="B508" s="306"/>
      <c r="C508" s="466">
        <f t="shared" si="52"/>
        <v>0</v>
      </c>
      <c r="D508" s="819"/>
      <c r="E508" s="820"/>
      <c r="F508" s="13">
        <f t="shared" si="47"/>
        <v>0</v>
      </c>
    </row>
    <row r="509" spans="1:6" s="13" customFormat="1" hidden="1" x14ac:dyDescent="0.3">
      <c r="A509" s="1667"/>
      <c r="B509" s="306"/>
      <c r="C509" s="466">
        <f t="shared" si="52"/>
        <v>0</v>
      </c>
      <c r="D509" s="819"/>
      <c r="E509" s="820"/>
      <c r="F509" s="13">
        <f t="shared" si="47"/>
        <v>0</v>
      </c>
    </row>
    <row r="510" spans="1:6" s="13" customFormat="1" hidden="1" x14ac:dyDescent="0.3">
      <c r="A510" s="1667"/>
      <c r="B510" s="306"/>
      <c r="C510" s="466">
        <f t="shared" si="52"/>
        <v>0</v>
      </c>
      <c r="D510" s="819"/>
      <c r="E510" s="820"/>
      <c r="F510" s="13">
        <f t="shared" si="47"/>
        <v>0</v>
      </c>
    </row>
    <row r="511" spans="1:6" s="13" customFormat="1" hidden="1" x14ac:dyDescent="0.3">
      <c r="A511" s="1667"/>
      <c r="B511" s="306"/>
      <c r="C511" s="466">
        <f t="shared" si="52"/>
        <v>0</v>
      </c>
      <c r="D511" s="819"/>
      <c r="E511" s="820"/>
      <c r="F511" s="13">
        <f t="shared" si="47"/>
        <v>0</v>
      </c>
    </row>
    <row r="512" spans="1:6" s="13" customFormat="1" hidden="1" x14ac:dyDescent="0.3">
      <c r="A512" s="1667"/>
      <c r="B512" s="306"/>
      <c r="C512" s="466">
        <f t="shared" si="52"/>
        <v>0</v>
      </c>
      <c r="D512" s="819"/>
      <c r="E512" s="820"/>
      <c r="F512" s="13">
        <f t="shared" si="47"/>
        <v>0</v>
      </c>
    </row>
    <row r="513" spans="1:6" s="13" customFormat="1" hidden="1" x14ac:dyDescent="0.3">
      <c r="A513" s="1667"/>
      <c r="B513" s="306"/>
      <c r="C513" s="466">
        <f t="shared" si="52"/>
        <v>0</v>
      </c>
      <c r="D513" s="819"/>
      <c r="E513" s="820"/>
      <c r="F513" s="13">
        <f t="shared" si="47"/>
        <v>0</v>
      </c>
    </row>
    <row r="514" spans="1:6" ht="85.15" customHeight="1" x14ac:dyDescent="0.3">
      <c r="A514" s="1673"/>
      <c r="B514" s="1322" t="s">
        <v>740</v>
      </c>
      <c r="C514" s="1614">
        <f>SUM(C504:C513)</f>
        <v>50000</v>
      </c>
      <c r="D514" s="1614">
        <f>SUM(D504:D513)</f>
        <v>0</v>
      </c>
      <c r="E514" s="1615">
        <f>SUM(E504:E513)</f>
        <v>50000</v>
      </c>
      <c r="F514" s="1523">
        <f t="shared" si="47"/>
        <v>100000</v>
      </c>
    </row>
    <row r="515" spans="1:6" hidden="1" x14ac:dyDescent="0.3">
      <c r="A515" s="1669" t="s">
        <v>1113</v>
      </c>
      <c r="B515" s="1612"/>
      <c r="C515" s="1613"/>
      <c r="D515" s="1613"/>
      <c r="E515" s="1613"/>
      <c r="F515" s="1523">
        <f t="shared" si="47"/>
        <v>0</v>
      </c>
    </row>
    <row r="516" spans="1:6" s="13" customFormat="1" hidden="1" x14ac:dyDescent="0.3">
      <c r="A516" s="1667"/>
      <c r="B516" s="306"/>
      <c r="C516" s="466">
        <f t="shared" ref="C516:C524" si="53">SUM(D516:E516)</f>
        <v>0</v>
      </c>
      <c r="D516" s="819"/>
      <c r="E516" s="820"/>
      <c r="F516" s="13">
        <f t="shared" si="47"/>
        <v>0</v>
      </c>
    </row>
    <row r="517" spans="1:6" s="13" customFormat="1" hidden="1" x14ac:dyDescent="0.3">
      <c r="A517" s="1667"/>
      <c r="B517" s="306"/>
      <c r="C517" s="466">
        <f t="shared" si="53"/>
        <v>0</v>
      </c>
      <c r="D517" s="819"/>
      <c r="E517" s="820"/>
      <c r="F517" s="13">
        <f t="shared" si="47"/>
        <v>0</v>
      </c>
    </row>
    <row r="518" spans="1:6" s="13" customFormat="1" hidden="1" x14ac:dyDescent="0.3">
      <c r="A518" s="1667"/>
      <c r="B518" s="306"/>
      <c r="C518" s="466">
        <f t="shared" si="53"/>
        <v>0</v>
      </c>
      <c r="D518" s="819"/>
      <c r="E518" s="820"/>
      <c r="F518" s="13">
        <f t="shared" si="47"/>
        <v>0</v>
      </c>
    </row>
    <row r="519" spans="1:6" s="13" customFormat="1" hidden="1" x14ac:dyDescent="0.3">
      <c r="A519" s="1667"/>
      <c r="B519" s="306"/>
      <c r="C519" s="466">
        <f t="shared" si="53"/>
        <v>0</v>
      </c>
      <c r="D519" s="819"/>
      <c r="E519" s="820"/>
      <c r="F519" s="13">
        <f t="shared" si="47"/>
        <v>0</v>
      </c>
    </row>
    <row r="520" spans="1:6" s="13" customFormat="1" hidden="1" x14ac:dyDescent="0.3">
      <c r="A520" s="1667"/>
      <c r="B520" s="306"/>
      <c r="C520" s="466">
        <f t="shared" si="53"/>
        <v>0</v>
      </c>
      <c r="D520" s="819"/>
      <c r="E520" s="820"/>
      <c r="F520" s="13">
        <f t="shared" si="47"/>
        <v>0</v>
      </c>
    </row>
    <row r="521" spans="1:6" s="13" customFormat="1" hidden="1" x14ac:dyDescent="0.3">
      <c r="A521" s="1667"/>
      <c r="B521" s="306"/>
      <c r="C521" s="466">
        <f t="shared" si="53"/>
        <v>0</v>
      </c>
      <c r="D521" s="819"/>
      <c r="E521" s="820"/>
      <c r="F521" s="13">
        <f t="shared" si="47"/>
        <v>0</v>
      </c>
    </row>
    <row r="522" spans="1:6" s="13" customFormat="1" hidden="1" x14ac:dyDescent="0.3">
      <c r="A522" s="1667"/>
      <c r="B522" s="306"/>
      <c r="C522" s="466">
        <f t="shared" si="53"/>
        <v>0</v>
      </c>
      <c r="D522" s="819"/>
      <c r="E522" s="820"/>
      <c r="F522" s="13">
        <f t="shared" ref="F522:F585" si="54">SUM(C522:E522)</f>
        <v>0</v>
      </c>
    </row>
    <row r="523" spans="1:6" s="13" customFormat="1" hidden="1" x14ac:dyDescent="0.3">
      <c r="A523" s="1667"/>
      <c r="B523" s="306"/>
      <c r="C523" s="466">
        <f t="shared" si="53"/>
        <v>0</v>
      </c>
      <c r="D523" s="819"/>
      <c r="E523" s="820"/>
      <c r="F523" s="13">
        <f t="shared" si="54"/>
        <v>0</v>
      </c>
    </row>
    <row r="524" spans="1:6" s="13" customFormat="1" hidden="1" x14ac:dyDescent="0.3">
      <c r="A524" s="1667"/>
      <c r="B524" s="306"/>
      <c r="C524" s="466">
        <f t="shared" si="53"/>
        <v>0</v>
      </c>
      <c r="D524" s="819"/>
      <c r="E524" s="820"/>
      <c r="F524" s="13">
        <f t="shared" si="54"/>
        <v>0</v>
      </c>
    </row>
    <row r="525" spans="1:6" s="13" customFormat="1" hidden="1" x14ac:dyDescent="0.3">
      <c r="A525" s="1673"/>
      <c r="B525" s="306" t="s">
        <v>740</v>
      </c>
      <c r="C525" s="466">
        <f>SUM(C515:C524)</f>
        <v>0</v>
      </c>
      <c r="D525" s="466">
        <f>SUM(D515:D524)</f>
        <v>0</v>
      </c>
      <c r="E525" s="599">
        <f>SUM(E515:E524)</f>
        <v>0</v>
      </c>
      <c r="F525" s="13">
        <f t="shared" si="54"/>
        <v>0</v>
      </c>
    </row>
    <row r="526" spans="1:6" ht="37.5" x14ac:dyDescent="0.3">
      <c r="A526" s="1669" t="s">
        <v>1114</v>
      </c>
      <c r="B526" s="1612" t="s">
        <v>1910</v>
      </c>
      <c r="C526" s="1613">
        <f>D526+E526</f>
        <v>650000</v>
      </c>
      <c r="D526" s="1613"/>
      <c r="E526" s="1613">
        <v>650000</v>
      </c>
      <c r="F526" s="1523">
        <f t="shared" si="54"/>
        <v>1300000</v>
      </c>
    </row>
    <row r="527" spans="1:6" s="503" customFormat="1" ht="129.6" customHeight="1" x14ac:dyDescent="0.3">
      <c r="A527" s="1667"/>
      <c r="B527" s="1612" t="s">
        <v>1911</v>
      </c>
      <c r="C527" s="1613">
        <f>D527+E527</f>
        <v>246000</v>
      </c>
      <c r="D527" s="1613"/>
      <c r="E527" s="1613">
        <v>246000</v>
      </c>
      <c r="F527" s="503">
        <f t="shared" si="54"/>
        <v>492000</v>
      </c>
    </row>
    <row r="528" spans="1:6" s="13" customFormat="1" hidden="1" x14ac:dyDescent="0.3">
      <c r="A528" s="1667"/>
      <c r="B528" s="306"/>
      <c r="C528" s="466">
        <f t="shared" ref="C528:C535" si="55">SUM(D528:E528)</f>
        <v>0</v>
      </c>
      <c r="D528" s="819"/>
      <c r="E528" s="820"/>
      <c r="F528" s="13">
        <f t="shared" si="54"/>
        <v>0</v>
      </c>
    </row>
    <row r="529" spans="1:6" s="13" customFormat="1" hidden="1" x14ac:dyDescent="0.3">
      <c r="A529" s="1667"/>
      <c r="B529" s="306"/>
      <c r="C529" s="466">
        <f t="shared" si="55"/>
        <v>0</v>
      </c>
      <c r="D529" s="819"/>
      <c r="E529" s="820"/>
      <c r="F529" s="13">
        <f t="shared" si="54"/>
        <v>0</v>
      </c>
    </row>
    <row r="530" spans="1:6" s="13" customFormat="1" hidden="1" x14ac:dyDescent="0.3">
      <c r="A530" s="1667"/>
      <c r="B530" s="306"/>
      <c r="C530" s="466">
        <f t="shared" si="55"/>
        <v>0</v>
      </c>
      <c r="D530" s="819"/>
      <c r="E530" s="820"/>
      <c r="F530" s="13">
        <f t="shared" si="54"/>
        <v>0</v>
      </c>
    </row>
    <row r="531" spans="1:6" s="13" customFormat="1" hidden="1" x14ac:dyDescent="0.3">
      <c r="A531" s="1667"/>
      <c r="B531" s="306"/>
      <c r="C531" s="466">
        <f t="shared" si="55"/>
        <v>0</v>
      </c>
      <c r="D531" s="819"/>
      <c r="E531" s="820"/>
      <c r="F531" s="13">
        <f t="shared" si="54"/>
        <v>0</v>
      </c>
    </row>
    <row r="532" spans="1:6" s="13" customFormat="1" hidden="1" x14ac:dyDescent="0.3">
      <c r="A532" s="1667"/>
      <c r="B532" s="306"/>
      <c r="C532" s="466">
        <f t="shared" si="55"/>
        <v>0</v>
      </c>
      <c r="D532" s="819"/>
      <c r="E532" s="820"/>
      <c r="F532" s="13">
        <f t="shared" si="54"/>
        <v>0</v>
      </c>
    </row>
    <row r="533" spans="1:6" s="13" customFormat="1" hidden="1" x14ac:dyDescent="0.3">
      <c r="A533" s="1667"/>
      <c r="B533" s="306"/>
      <c r="C533" s="466">
        <f t="shared" si="55"/>
        <v>0</v>
      </c>
      <c r="D533" s="819"/>
      <c r="E533" s="820"/>
      <c r="F533" s="13">
        <f t="shared" si="54"/>
        <v>0</v>
      </c>
    </row>
    <row r="534" spans="1:6" s="13" customFormat="1" hidden="1" x14ac:dyDescent="0.3">
      <c r="A534" s="1667"/>
      <c r="B534" s="306"/>
      <c r="C534" s="466">
        <f t="shared" si="55"/>
        <v>0</v>
      </c>
      <c r="D534" s="819"/>
      <c r="E534" s="820"/>
      <c r="F534" s="13">
        <f t="shared" si="54"/>
        <v>0</v>
      </c>
    </row>
    <row r="535" spans="1:6" s="13" customFormat="1" hidden="1" x14ac:dyDescent="0.3">
      <c r="A535" s="1667"/>
      <c r="B535" s="306"/>
      <c r="C535" s="466">
        <f t="shared" si="55"/>
        <v>0</v>
      </c>
      <c r="D535" s="819"/>
      <c r="E535" s="820"/>
      <c r="F535" s="13">
        <f t="shared" si="54"/>
        <v>0</v>
      </c>
    </row>
    <row r="536" spans="1:6" x14ac:dyDescent="0.3">
      <c r="A536" s="1673"/>
      <c r="B536" s="1322" t="s">
        <v>740</v>
      </c>
      <c r="C536" s="1614">
        <f>SUM(C526:C535)</f>
        <v>896000</v>
      </c>
      <c r="D536" s="1614">
        <f>SUM(D526:D535)</f>
        <v>0</v>
      </c>
      <c r="E536" s="1615">
        <f>SUM(E526:E535)</f>
        <v>896000</v>
      </c>
      <c r="F536" s="1523">
        <f t="shared" si="54"/>
        <v>1792000</v>
      </c>
    </row>
    <row r="537" spans="1:6" s="13" customFormat="1" ht="138" hidden="1" customHeight="1" x14ac:dyDescent="0.3">
      <c r="A537" s="1669" t="s">
        <v>1115</v>
      </c>
      <c r="B537" s="1382" t="s">
        <v>1849</v>
      </c>
      <c r="C537" s="1383">
        <f>D537+E537</f>
        <v>0</v>
      </c>
      <c r="D537" s="1383"/>
      <c r="E537" s="1383">
        <f>108000-108000</f>
        <v>0</v>
      </c>
      <c r="F537" s="13">
        <f t="shared" si="54"/>
        <v>0</v>
      </c>
    </row>
    <row r="538" spans="1:6" s="13" customFormat="1" hidden="1" x14ac:dyDescent="0.3">
      <c r="A538" s="1667"/>
      <c r="B538" s="306"/>
      <c r="C538" s="466">
        <f t="shared" ref="C538:C545" si="56">SUM(D538:E538)</f>
        <v>0</v>
      </c>
      <c r="D538" s="819"/>
      <c r="E538" s="820"/>
      <c r="F538" s="13">
        <f t="shared" si="54"/>
        <v>0</v>
      </c>
    </row>
    <row r="539" spans="1:6" s="13" customFormat="1" hidden="1" x14ac:dyDescent="0.3">
      <c r="A539" s="1667"/>
      <c r="B539" s="306"/>
      <c r="C539" s="466">
        <f t="shared" si="56"/>
        <v>0</v>
      </c>
      <c r="D539" s="819"/>
      <c r="E539" s="820"/>
      <c r="F539" s="13">
        <f t="shared" si="54"/>
        <v>0</v>
      </c>
    </row>
    <row r="540" spans="1:6" s="13" customFormat="1" hidden="1" x14ac:dyDescent="0.3">
      <c r="A540" s="1667"/>
      <c r="B540" s="306"/>
      <c r="C540" s="466">
        <f t="shared" si="56"/>
        <v>0</v>
      </c>
      <c r="D540" s="819"/>
      <c r="E540" s="820"/>
      <c r="F540" s="13">
        <f t="shared" si="54"/>
        <v>0</v>
      </c>
    </row>
    <row r="541" spans="1:6" s="13" customFormat="1" hidden="1" x14ac:dyDescent="0.3">
      <c r="A541" s="1667"/>
      <c r="B541" s="306"/>
      <c r="C541" s="466">
        <f t="shared" si="56"/>
        <v>0</v>
      </c>
      <c r="D541" s="819"/>
      <c r="E541" s="820"/>
      <c r="F541" s="13">
        <f t="shared" si="54"/>
        <v>0</v>
      </c>
    </row>
    <row r="542" spans="1:6" s="13" customFormat="1" hidden="1" x14ac:dyDescent="0.3">
      <c r="A542" s="1667"/>
      <c r="B542" s="306"/>
      <c r="C542" s="466">
        <f t="shared" si="56"/>
        <v>0</v>
      </c>
      <c r="D542" s="819"/>
      <c r="E542" s="820"/>
      <c r="F542" s="13">
        <f t="shared" si="54"/>
        <v>0</v>
      </c>
    </row>
    <row r="543" spans="1:6" s="13" customFormat="1" hidden="1" x14ac:dyDescent="0.3">
      <c r="A543" s="1667"/>
      <c r="B543" s="306"/>
      <c r="C543" s="466">
        <f t="shared" si="56"/>
        <v>0</v>
      </c>
      <c r="D543" s="819"/>
      <c r="E543" s="820"/>
      <c r="F543" s="13">
        <f t="shared" si="54"/>
        <v>0</v>
      </c>
    </row>
    <row r="544" spans="1:6" s="13" customFormat="1" hidden="1" x14ac:dyDescent="0.3">
      <c r="A544" s="1667"/>
      <c r="B544" s="306"/>
      <c r="C544" s="466">
        <f t="shared" si="56"/>
        <v>0</v>
      </c>
      <c r="D544" s="819"/>
      <c r="E544" s="820"/>
      <c r="F544" s="13">
        <f t="shared" si="54"/>
        <v>0</v>
      </c>
    </row>
    <row r="545" spans="1:6" s="13" customFormat="1" hidden="1" x14ac:dyDescent="0.3">
      <c r="A545" s="1667"/>
      <c r="B545" s="306"/>
      <c r="C545" s="466">
        <f t="shared" si="56"/>
        <v>0</v>
      </c>
      <c r="D545" s="819"/>
      <c r="E545" s="820"/>
      <c r="F545" s="13">
        <f t="shared" si="54"/>
        <v>0</v>
      </c>
    </row>
    <row r="546" spans="1:6" s="13" customFormat="1" hidden="1" x14ac:dyDescent="0.3">
      <c r="A546" s="1673"/>
      <c r="B546" s="891" t="s">
        <v>740</v>
      </c>
      <c r="C546" s="466">
        <f>SUM(C537:C545)</f>
        <v>0</v>
      </c>
      <c r="D546" s="466">
        <f>SUM(D537:D545)</f>
        <v>0</v>
      </c>
      <c r="E546" s="599">
        <f>SUM(E537:E545)</f>
        <v>0</v>
      </c>
      <c r="F546" s="13">
        <f t="shared" si="54"/>
        <v>0</v>
      </c>
    </row>
    <row r="547" spans="1:6" ht="131.25" x14ac:dyDescent="0.3">
      <c r="A547" s="1669" t="s">
        <v>1116</v>
      </c>
      <c r="B547" s="1612" t="s">
        <v>1850</v>
      </c>
      <c r="C547" s="1615">
        <f>D547+E547</f>
        <v>2000000</v>
      </c>
      <c r="D547" s="1615"/>
      <c r="E547" s="1615">
        <v>2000000</v>
      </c>
      <c r="F547" s="1523">
        <f t="shared" si="54"/>
        <v>4000000</v>
      </c>
    </row>
    <row r="548" spans="1:6" s="13" customFormat="1" hidden="1" x14ac:dyDescent="0.3">
      <c r="A548" s="1667"/>
      <c r="B548" s="306"/>
      <c r="C548" s="466">
        <f t="shared" ref="C548:C556" si="57">SUM(D548:E548)</f>
        <v>0</v>
      </c>
      <c r="D548" s="819"/>
      <c r="E548" s="820"/>
      <c r="F548" s="13">
        <f t="shared" si="54"/>
        <v>0</v>
      </c>
    </row>
    <row r="549" spans="1:6" s="13" customFormat="1" hidden="1" x14ac:dyDescent="0.3">
      <c r="A549" s="1667"/>
      <c r="B549" s="306"/>
      <c r="C549" s="466">
        <f t="shared" si="57"/>
        <v>0</v>
      </c>
      <c r="D549" s="819"/>
      <c r="E549" s="820"/>
      <c r="F549" s="13">
        <f t="shared" si="54"/>
        <v>0</v>
      </c>
    </row>
    <row r="550" spans="1:6" s="13" customFormat="1" hidden="1" x14ac:dyDescent="0.3">
      <c r="A550" s="1667"/>
      <c r="B550" s="306"/>
      <c r="C550" s="466">
        <f t="shared" si="57"/>
        <v>0</v>
      </c>
      <c r="D550" s="819"/>
      <c r="E550" s="820"/>
      <c r="F550" s="13">
        <f t="shared" si="54"/>
        <v>0</v>
      </c>
    </row>
    <row r="551" spans="1:6" s="13" customFormat="1" hidden="1" x14ac:dyDescent="0.3">
      <c r="A551" s="1667"/>
      <c r="B551" s="306"/>
      <c r="C551" s="466">
        <f t="shared" si="57"/>
        <v>0</v>
      </c>
      <c r="D551" s="819"/>
      <c r="E551" s="820"/>
      <c r="F551" s="13">
        <f t="shared" si="54"/>
        <v>0</v>
      </c>
    </row>
    <row r="552" spans="1:6" s="13" customFormat="1" hidden="1" x14ac:dyDescent="0.3">
      <c r="A552" s="1667"/>
      <c r="B552" s="306"/>
      <c r="C552" s="466">
        <f t="shared" si="57"/>
        <v>0</v>
      </c>
      <c r="D552" s="819"/>
      <c r="E552" s="820"/>
      <c r="F552" s="13">
        <f t="shared" si="54"/>
        <v>0</v>
      </c>
    </row>
    <row r="553" spans="1:6" s="13" customFormat="1" hidden="1" x14ac:dyDescent="0.3">
      <c r="A553" s="1667"/>
      <c r="B553" s="306"/>
      <c r="C553" s="466">
        <f t="shared" si="57"/>
        <v>0</v>
      </c>
      <c r="D553" s="819"/>
      <c r="E553" s="820"/>
      <c r="F553" s="13">
        <f t="shared" si="54"/>
        <v>0</v>
      </c>
    </row>
    <row r="554" spans="1:6" s="13" customFormat="1" hidden="1" x14ac:dyDescent="0.3">
      <c r="A554" s="1667"/>
      <c r="B554" s="306"/>
      <c r="C554" s="466">
        <f t="shared" si="57"/>
        <v>0</v>
      </c>
      <c r="D554" s="819"/>
      <c r="E554" s="820"/>
      <c r="F554" s="13">
        <f t="shared" si="54"/>
        <v>0</v>
      </c>
    </row>
    <row r="555" spans="1:6" s="13" customFormat="1" hidden="1" x14ac:dyDescent="0.3">
      <c r="A555" s="1667"/>
      <c r="B555" s="306"/>
      <c r="C555" s="466">
        <f t="shared" si="57"/>
        <v>0</v>
      </c>
      <c r="D555" s="819"/>
      <c r="E555" s="820"/>
      <c r="F555" s="13">
        <f t="shared" si="54"/>
        <v>0</v>
      </c>
    </row>
    <row r="556" spans="1:6" s="13" customFormat="1" hidden="1" x14ac:dyDescent="0.3">
      <c r="A556" s="1667"/>
      <c r="B556" s="306"/>
      <c r="C556" s="466">
        <f t="shared" si="57"/>
        <v>0</v>
      </c>
      <c r="D556" s="819"/>
      <c r="E556" s="820"/>
      <c r="F556" s="13">
        <f t="shared" si="54"/>
        <v>0</v>
      </c>
    </row>
    <row r="557" spans="1:6" x14ac:dyDescent="0.3">
      <c r="A557" s="1673"/>
      <c r="B557" s="1322" t="s">
        <v>740</v>
      </c>
      <c r="C557" s="1614">
        <f>SUM(C547:C556)</f>
        <v>2000000</v>
      </c>
      <c r="D557" s="1614">
        <f>SUM(D547:D556)</f>
        <v>0</v>
      </c>
      <c r="E557" s="1615">
        <f>SUM(E547:E556)</f>
        <v>2000000</v>
      </c>
      <c r="F557" s="1523">
        <f t="shared" si="54"/>
        <v>4000000</v>
      </c>
    </row>
    <row r="558" spans="1:6" ht="75" x14ac:dyDescent="0.3">
      <c r="A558" s="1669" t="s">
        <v>1117</v>
      </c>
      <c r="B558" s="1612" t="s">
        <v>1812</v>
      </c>
      <c r="C558" s="1613">
        <f>D558+E558</f>
        <v>424000</v>
      </c>
      <c r="D558" s="1613">
        <v>424000</v>
      </c>
      <c r="E558" s="1503"/>
      <c r="F558" s="1523">
        <f t="shared" si="54"/>
        <v>848000</v>
      </c>
    </row>
    <row r="559" spans="1:6" ht="56.25" x14ac:dyDescent="0.3">
      <c r="A559" s="1667"/>
      <c r="B559" s="1612" t="s">
        <v>1906</v>
      </c>
      <c r="C559" s="1613">
        <f>D559+E559</f>
        <v>146290</v>
      </c>
      <c r="D559" s="1613">
        <v>146290</v>
      </c>
      <c r="E559" s="1503"/>
      <c r="F559" s="1523">
        <f t="shared" si="54"/>
        <v>292580</v>
      </c>
    </row>
    <row r="560" spans="1:6" ht="56.25" x14ac:dyDescent="0.3">
      <c r="A560" s="1667"/>
      <c r="B560" s="1612" t="s">
        <v>1907</v>
      </c>
      <c r="C560" s="1613">
        <f>D560+E560</f>
        <v>153710</v>
      </c>
      <c r="D560" s="1613"/>
      <c r="E560" s="1613">
        <v>153710</v>
      </c>
      <c r="F560" s="1523">
        <f t="shared" si="54"/>
        <v>307420</v>
      </c>
    </row>
    <row r="561" spans="1:6" ht="56.25" x14ac:dyDescent="0.3">
      <c r="A561" s="1667"/>
      <c r="B561" s="1612" t="s">
        <v>1877</v>
      </c>
      <c r="C561" s="1613">
        <f>D561+E561</f>
        <v>612000</v>
      </c>
      <c r="D561" s="1613"/>
      <c r="E561" s="1613">
        <v>612000</v>
      </c>
      <c r="F561" s="1523">
        <f t="shared" si="54"/>
        <v>1224000</v>
      </c>
    </row>
    <row r="562" spans="1:6" s="13" customFormat="1" hidden="1" x14ac:dyDescent="0.3">
      <c r="A562" s="1667"/>
      <c r="B562" s="306"/>
      <c r="C562" s="466">
        <f t="shared" ref="C562:C568" si="58">SUM(D562:E562)</f>
        <v>0</v>
      </c>
      <c r="D562" s="819"/>
      <c r="E562" s="820"/>
      <c r="F562" s="13">
        <f t="shared" si="54"/>
        <v>0</v>
      </c>
    </row>
    <row r="563" spans="1:6" s="13" customFormat="1" hidden="1" x14ac:dyDescent="0.3">
      <c r="A563" s="1667"/>
      <c r="B563" s="306"/>
      <c r="C563" s="466">
        <f t="shared" si="58"/>
        <v>0</v>
      </c>
      <c r="D563" s="819"/>
      <c r="E563" s="820"/>
      <c r="F563" s="13">
        <f t="shared" si="54"/>
        <v>0</v>
      </c>
    </row>
    <row r="564" spans="1:6" s="13" customFormat="1" hidden="1" x14ac:dyDescent="0.3">
      <c r="A564" s="1667"/>
      <c r="B564" s="306"/>
      <c r="C564" s="466">
        <f t="shared" si="58"/>
        <v>0</v>
      </c>
      <c r="D564" s="819"/>
      <c r="E564" s="820"/>
      <c r="F564" s="13">
        <f t="shared" si="54"/>
        <v>0</v>
      </c>
    </row>
    <row r="565" spans="1:6" s="13" customFormat="1" hidden="1" x14ac:dyDescent="0.3">
      <c r="A565" s="1667"/>
      <c r="B565" s="306"/>
      <c r="C565" s="466">
        <f t="shared" si="58"/>
        <v>0</v>
      </c>
      <c r="D565" s="819"/>
      <c r="E565" s="820"/>
      <c r="F565" s="13">
        <f t="shared" si="54"/>
        <v>0</v>
      </c>
    </row>
    <row r="566" spans="1:6" s="13" customFormat="1" hidden="1" x14ac:dyDescent="0.3">
      <c r="A566" s="1667"/>
      <c r="B566" s="306"/>
      <c r="C566" s="466">
        <f t="shared" si="58"/>
        <v>0</v>
      </c>
      <c r="D566" s="819"/>
      <c r="E566" s="820"/>
      <c r="F566" s="13">
        <f t="shared" si="54"/>
        <v>0</v>
      </c>
    </row>
    <row r="567" spans="1:6" s="13" customFormat="1" hidden="1" x14ac:dyDescent="0.3">
      <c r="A567" s="1667"/>
      <c r="B567" s="306"/>
      <c r="C567" s="466">
        <f t="shared" si="58"/>
        <v>0</v>
      </c>
      <c r="D567" s="819"/>
      <c r="E567" s="820"/>
      <c r="F567" s="13">
        <f t="shared" si="54"/>
        <v>0</v>
      </c>
    </row>
    <row r="568" spans="1:6" s="13" customFormat="1" hidden="1" x14ac:dyDescent="0.3">
      <c r="A568" s="1667"/>
      <c r="B568" s="306"/>
      <c r="C568" s="466">
        <f t="shared" si="58"/>
        <v>0</v>
      </c>
      <c r="D568" s="819"/>
      <c r="E568" s="820"/>
      <c r="F568" s="13">
        <f t="shared" si="54"/>
        <v>0</v>
      </c>
    </row>
    <row r="569" spans="1:6" x14ac:dyDescent="0.3">
      <c r="A569" s="1673"/>
      <c r="B569" s="1322" t="s">
        <v>740</v>
      </c>
      <c r="C569" s="1614">
        <f>SUM(C558:C568)</f>
        <v>1336000</v>
      </c>
      <c r="D569" s="1614">
        <f>SUM(D558:D568)</f>
        <v>570290</v>
      </c>
      <c r="E569" s="1615">
        <f>SUM(E558:E568)</f>
        <v>765710</v>
      </c>
      <c r="F569" s="1523">
        <f t="shared" si="54"/>
        <v>2672000</v>
      </c>
    </row>
    <row r="570" spans="1:6" ht="187.5" x14ac:dyDescent="0.3">
      <c r="A570" s="1669" t="s">
        <v>1119</v>
      </c>
      <c r="B570" s="1612" t="s">
        <v>1960</v>
      </c>
      <c r="C570" s="1613">
        <f>D570+E570</f>
        <v>276000</v>
      </c>
      <c r="D570" s="1613"/>
      <c r="E570" s="1613">
        <v>276000</v>
      </c>
      <c r="F570" s="1523">
        <f t="shared" si="54"/>
        <v>552000</v>
      </c>
    </row>
    <row r="571" spans="1:6" s="13" customFormat="1" hidden="1" x14ac:dyDescent="0.3">
      <c r="A571" s="1667"/>
      <c r="B571" s="306"/>
      <c r="C571" s="466">
        <f t="shared" ref="C571:C579" si="59">SUM(D571:E571)</f>
        <v>0</v>
      </c>
      <c r="D571" s="819"/>
      <c r="E571" s="820"/>
      <c r="F571" s="13">
        <f t="shared" si="54"/>
        <v>0</v>
      </c>
    </row>
    <row r="572" spans="1:6" s="13" customFormat="1" hidden="1" x14ac:dyDescent="0.3">
      <c r="A572" s="1667"/>
      <c r="B572" s="306"/>
      <c r="C572" s="466">
        <f t="shared" si="59"/>
        <v>0</v>
      </c>
      <c r="D572" s="819"/>
      <c r="E572" s="820"/>
      <c r="F572" s="13">
        <f t="shared" si="54"/>
        <v>0</v>
      </c>
    </row>
    <row r="573" spans="1:6" s="13" customFormat="1" hidden="1" x14ac:dyDescent="0.3">
      <c r="A573" s="1667"/>
      <c r="B573" s="306"/>
      <c r="C573" s="466">
        <f t="shared" si="59"/>
        <v>0</v>
      </c>
      <c r="D573" s="819"/>
      <c r="E573" s="820"/>
      <c r="F573" s="13">
        <f t="shared" si="54"/>
        <v>0</v>
      </c>
    </row>
    <row r="574" spans="1:6" s="13" customFormat="1" hidden="1" x14ac:dyDescent="0.3">
      <c r="A574" s="1667"/>
      <c r="B574" s="306"/>
      <c r="C574" s="466">
        <f t="shared" si="59"/>
        <v>0</v>
      </c>
      <c r="D574" s="819"/>
      <c r="E574" s="820"/>
      <c r="F574" s="13">
        <f t="shared" si="54"/>
        <v>0</v>
      </c>
    </row>
    <row r="575" spans="1:6" s="13" customFormat="1" hidden="1" x14ac:dyDescent="0.3">
      <c r="A575" s="1667"/>
      <c r="B575" s="306"/>
      <c r="C575" s="466">
        <f t="shared" si="59"/>
        <v>0</v>
      </c>
      <c r="D575" s="819"/>
      <c r="E575" s="820"/>
      <c r="F575" s="13">
        <f t="shared" si="54"/>
        <v>0</v>
      </c>
    </row>
    <row r="576" spans="1:6" s="13" customFormat="1" hidden="1" x14ac:dyDescent="0.3">
      <c r="A576" s="1667"/>
      <c r="B576" s="306"/>
      <c r="C576" s="466">
        <f t="shared" si="59"/>
        <v>0</v>
      </c>
      <c r="D576" s="819"/>
      <c r="E576" s="820"/>
      <c r="F576" s="13">
        <f t="shared" si="54"/>
        <v>0</v>
      </c>
    </row>
    <row r="577" spans="1:6" s="13" customFormat="1" hidden="1" x14ac:dyDescent="0.3">
      <c r="A577" s="1667"/>
      <c r="B577" s="306"/>
      <c r="C577" s="466">
        <f t="shared" si="59"/>
        <v>0</v>
      </c>
      <c r="D577" s="819"/>
      <c r="E577" s="820"/>
      <c r="F577" s="13">
        <f t="shared" si="54"/>
        <v>0</v>
      </c>
    </row>
    <row r="578" spans="1:6" s="13" customFormat="1" hidden="1" x14ac:dyDescent="0.3">
      <c r="A578" s="1667"/>
      <c r="B578" s="306"/>
      <c r="C578" s="466">
        <f t="shared" si="59"/>
        <v>0</v>
      </c>
      <c r="D578" s="819"/>
      <c r="E578" s="820"/>
      <c r="F578" s="13">
        <f t="shared" si="54"/>
        <v>0</v>
      </c>
    </row>
    <row r="579" spans="1:6" s="13" customFormat="1" hidden="1" x14ac:dyDescent="0.3">
      <c r="A579" s="1667"/>
      <c r="B579" s="306"/>
      <c r="C579" s="466">
        <f t="shared" si="59"/>
        <v>0</v>
      </c>
      <c r="D579" s="819"/>
      <c r="E579" s="820"/>
      <c r="F579" s="13">
        <f t="shared" si="54"/>
        <v>0</v>
      </c>
    </row>
    <row r="580" spans="1:6" x14ac:dyDescent="0.3">
      <c r="A580" s="1673"/>
      <c r="B580" s="1322" t="s">
        <v>740</v>
      </c>
      <c r="C580" s="1614">
        <f>SUM(C570:C579)</f>
        <v>276000</v>
      </c>
      <c r="D580" s="1614">
        <f>SUM(D570:D579)</f>
        <v>0</v>
      </c>
      <c r="E580" s="1615">
        <f>SUM(E570:E579)</f>
        <v>276000</v>
      </c>
      <c r="F580" s="1523">
        <f t="shared" si="54"/>
        <v>552000</v>
      </c>
    </row>
    <row r="581" spans="1:6" s="13" customFormat="1" hidden="1" x14ac:dyDescent="0.3">
      <c r="A581" s="1669" t="s">
        <v>1121</v>
      </c>
      <c r="B581" s="306"/>
      <c r="C581" s="466">
        <f>SUM(D581:E581)</f>
        <v>0</v>
      </c>
      <c r="D581" s="819"/>
      <c r="E581" s="820"/>
      <c r="F581" s="13">
        <f t="shared" si="54"/>
        <v>0</v>
      </c>
    </row>
    <row r="582" spans="1:6" s="13" customFormat="1" hidden="1" x14ac:dyDescent="0.3">
      <c r="A582" s="1667"/>
      <c r="B582" s="306"/>
      <c r="C582" s="466">
        <f t="shared" ref="C582:C590" si="60">SUM(D582:E582)</f>
        <v>0</v>
      </c>
      <c r="D582" s="819"/>
      <c r="E582" s="820"/>
      <c r="F582" s="13">
        <f t="shared" si="54"/>
        <v>0</v>
      </c>
    </row>
    <row r="583" spans="1:6" s="13" customFormat="1" hidden="1" x14ac:dyDescent="0.3">
      <c r="A583" s="1667"/>
      <c r="B583" s="306"/>
      <c r="C583" s="466">
        <f t="shared" si="60"/>
        <v>0</v>
      </c>
      <c r="D583" s="819"/>
      <c r="E583" s="820"/>
      <c r="F583" s="13">
        <f t="shared" si="54"/>
        <v>0</v>
      </c>
    </row>
    <row r="584" spans="1:6" s="13" customFormat="1" hidden="1" x14ac:dyDescent="0.3">
      <c r="A584" s="1667"/>
      <c r="B584" s="306"/>
      <c r="C584" s="466">
        <f t="shared" si="60"/>
        <v>0</v>
      </c>
      <c r="D584" s="819"/>
      <c r="E584" s="820"/>
      <c r="F584" s="13">
        <f t="shared" si="54"/>
        <v>0</v>
      </c>
    </row>
    <row r="585" spans="1:6" s="13" customFormat="1" hidden="1" x14ac:dyDescent="0.3">
      <c r="A585" s="1667"/>
      <c r="B585" s="306"/>
      <c r="C585" s="466">
        <f t="shared" si="60"/>
        <v>0</v>
      </c>
      <c r="D585" s="819"/>
      <c r="E585" s="820"/>
      <c r="F585" s="13">
        <f t="shared" si="54"/>
        <v>0</v>
      </c>
    </row>
    <row r="586" spans="1:6" s="13" customFormat="1" hidden="1" x14ac:dyDescent="0.3">
      <c r="A586" s="1667"/>
      <c r="B586" s="306"/>
      <c r="C586" s="466">
        <f t="shared" si="60"/>
        <v>0</v>
      </c>
      <c r="D586" s="819"/>
      <c r="E586" s="820"/>
      <c r="F586" s="13">
        <f t="shared" ref="F586:F649" si="61">SUM(C586:E586)</f>
        <v>0</v>
      </c>
    </row>
    <row r="587" spans="1:6" s="13" customFormat="1" hidden="1" x14ac:dyDescent="0.3">
      <c r="A587" s="1667"/>
      <c r="B587" s="306"/>
      <c r="C587" s="466">
        <f t="shared" si="60"/>
        <v>0</v>
      </c>
      <c r="D587" s="819"/>
      <c r="E587" s="820"/>
      <c r="F587" s="13">
        <f t="shared" si="61"/>
        <v>0</v>
      </c>
    </row>
    <row r="588" spans="1:6" s="13" customFormat="1" hidden="1" x14ac:dyDescent="0.3">
      <c r="A588" s="1667"/>
      <c r="B588" s="306"/>
      <c r="C588" s="466">
        <f t="shared" si="60"/>
        <v>0</v>
      </c>
      <c r="D588" s="819"/>
      <c r="E588" s="820"/>
      <c r="F588" s="13">
        <f t="shared" si="61"/>
        <v>0</v>
      </c>
    </row>
    <row r="589" spans="1:6" s="13" customFormat="1" hidden="1" x14ac:dyDescent="0.3">
      <c r="A589" s="1667"/>
      <c r="B589" s="306"/>
      <c r="C589" s="466">
        <f t="shared" si="60"/>
        <v>0</v>
      </c>
      <c r="D589" s="819"/>
      <c r="E589" s="820"/>
      <c r="F589" s="13">
        <f t="shared" si="61"/>
        <v>0</v>
      </c>
    </row>
    <row r="590" spans="1:6" s="13" customFormat="1" hidden="1" x14ac:dyDescent="0.3">
      <c r="A590" s="1667"/>
      <c r="B590" s="306"/>
      <c r="C590" s="466">
        <f t="shared" si="60"/>
        <v>0</v>
      </c>
      <c r="D590" s="819"/>
      <c r="E590" s="820"/>
      <c r="F590" s="13">
        <f t="shared" si="61"/>
        <v>0</v>
      </c>
    </row>
    <row r="591" spans="1:6" s="13" customFormat="1" hidden="1" x14ac:dyDescent="0.3">
      <c r="A591" s="1673"/>
      <c r="B591" s="306" t="s">
        <v>740</v>
      </c>
      <c r="C591" s="466">
        <f>SUM(C581:C590)</f>
        <v>0</v>
      </c>
      <c r="D591" s="466">
        <f>SUM(D581:D590)</f>
        <v>0</v>
      </c>
      <c r="E591" s="599">
        <f>SUM(E581:E590)</f>
        <v>0</v>
      </c>
      <c r="F591" s="13">
        <f t="shared" si="61"/>
        <v>0</v>
      </c>
    </row>
    <row r="592" spans="1:6" ht="37.5" x14ac:dyDescent="0.3">
      <c r="A592" s="1669" t="s">
        <v>1123</v>
      </c>
      <c r="B592" s="1612" t="s">
        <v>1859</v>
      </c>
      <c r="C592" s="1613">
        <f>D592+E592</f>
        <v>60000</v>
      </c>
      <c r="D592" s="1613"/>
      <c r="E592" s="1613">
        <f>60000</f>
        <v>60000</v>
      </c>
      <c r="F592" s="1523">
        <f t="shared" si="61"/>
        <v>120000</v>
      </c>
    </row>
    <row r="593" spans="1:6" ht="75" x14ac:dyDescent="0.3">
      <c r="A593" s="1667"/>
      <c r="B593" s="1612" t="s">
        <v>1961</v>
      </c>
      <c r="C593" s="1613">
        <f>D593+E593</f>
        <v>539700</v>
      </c>
      <c r="D593" s="1613"/>
      <c r="E593" s="1613">
        <f>475000+64700</f>
        <v>539700</v>
      </c>
      <c r="F593" s="1523">
        <f t="shared" si="61"/>
        <v>1079400</v>
      </c>
    </row>
    <row r="594" spans="1:6" s="13" customFormat="1" hidden="1" x14ac:dyDescent="0.3">
      <c r="A594" s="1667"/>
      <c r="B594" s="306"/>
      <c r="C594" s="466">
        <f t="shared" ref="C594:C601" si="62">SUM(D594:E594)</f>
        <v>0</v>
      </c>
      <c r="D594" s="819"/>
      <c r="E594" s="820"/>
      <c r="F594" s="13">
        <f t="shared" si="61"/>
        <v>0</v>
      </c>
    </row>
    <row r="595" spans="1:6" s="13" customFormat="1" hidden="1" x14ac:dyDescent="0.3">
      <c r="A595" s="1667"/>
      <c r="B595" s="306"/>
      <c r="C595" s="466">
        <f t="shared" si="62"/>
        <v>0</v>
      </c>
      <c r="D595" s="819"/>
      <c r="E595" s="820"/>
      <c r="F595" s="13">
        <f t="shared" si="61"/>
        <v>0</v>
      </c>
    </row>
    <row r="596" spans="1:6" s="13" customFormat="1" hidden="1" x14ac:dyDescent="0.3">
      <c r="A596" s="1667"/>
      <c r="B596" s="306"/>
      <c r="C596" s="466">
        <f t="shared" si="62"/>
        <v>0</v>
      </c>
      <c r="D596" s="819"/>
      <c r="E596" s="820"/>
      <c r="F596" s="13">
        <f t="shared" si="61"/>
        <v>0</v>
      </c>
    </row>
    <row r="597" spans="1:6" s="13" customFormat="1" hidden="1" x14ac:dyDescent="0.3">
      <c r="A597" s="1667"/>
      <c r="B597" s="306"/>
      <c r="C597" s="466">
        <f t="shared" si="62"/>
        <v>0</v>
      </c>
      <c r="D597" s="819"/>
      <c r="E597" s="820"/>
      <c r="F597" s="13">
        <f t="shared" si="61"/>
        <v>0</v>
      </c>
    </row>
    <row r="598" spans="1:6" s="13" customFormat="1" hidden="1" x14ac:dyDescent="0.3">
      <c r="A598" s="1667"/>
      <c r="B598" s="306"/>
      <c r="C598" s="466">
        <f t="shared" si="62"/>
        <v>0</v>
      </c>
      <c r="D598" s="819"/>
      <c r="E598" s="820"/>
      <c r="F598" s="13">
        <f t="shared" si="61"/>
        <v>0</v>
      </c>
    </row>
    <row r="599" spans="1:6" s="13" customFormat="1" hidden="1" x14ac:dyDescent="0.3">
      <c r="A599" s="1667"/>
      <c r="B599" s="306"/>
      <c r="C599" s="466">
        <f t="shared" si="62"/>
        <v>0</v>
      </c>
      <c r="D599" s="819"/>
      <c r="E599" s="820"/>
      <c r="F599" s="13">
        <f t="shared" si="61"/>
        <v>0</v>
      </c>
    </row>
    <row r="600" spans="1:6" s="13" customFormat="1" hidden="1" x14ac:dyDescent="0.3">
      <c r="A600" s="1667"/>
      <c r="B600" s="306"/>
      <c r="C600" s="466">
        <f t="shared" si="62"/>
        <v>0</v>
      </c>
      <c r="D600" s="819"/>
      <c r="E600" s="820"/>
      <c r="F600" s="13">
        <f t="shared" si="61"/>
        <v>0</v>
      </c>
    </row>
    <row r="601" spans="1:6" s="13" customFormat="1" hidden="1" x14ac:dyDescent="0.3">
      <c r="A601" s="1667"/>
      <c r="B601" s="306"/>
      <c r="C601" s="466">
        <f t="shared" si="62"/>
        <v>0</v>
      </c>
      <c r="D601" s="819"/>
      <c r="E601" s="820"/>
      <c r="F601" s="13">
        <f t="shared" si="61"/>
        <v>0</v>
      </c>
    </row>
    <row r="602" spans="1:6" x14ac:dyDescent="0.3">
      <c r="A602" s="1673"/>
      <c r="B602" s="1322" t="s">
        <v>740</v>
      </c>
      <c r="C602" s="1614">
        <f>SUM(C592:C601)</f>
        <v>599700</v>
      </c>
      <c r="D602" s="1614">
        <f>SUM(D592:D601)</f>
        <v>0</v>
      </c>
      <c r="E602" s="1615">
        <f>SUM(E592:E601)</f>
        <v>599700</v>
      </c>
      <c r="F602" s="1523">
        <f t="shared" si="61"/>
        <v>1199400</v>
      </c>
    </row>
    <row r="603" spans="1:6" ht="75" x14ac:dyDescent="0.3">
      <c r="A603" s="1669" t="s">
        <v>1125</v>
      </c>
      <c r="B603" s="1612" t="s">
        <v>2334</v>
      </c>
      <c r="C603" s="1613">
        <f>D603+E603</f>
        <v>178632</v>
      </c>
      <c r="D603" s="1613"/>
      <c r="E603" s="1613">
        <v>178632</v>
      </c>
      <c r="F603" s="1523">
        <f t="shared" si="61"/>
        <v>357264</v>
      </c>
    </row>
    <row r="604" spans="1:6" s="13" customFormat="1" hidden="1" x14ac:dyDescent="0.3">
      <c r="A604" s="1667"/>
      <c r="B604" s="306"/>
      <c r="C604" s="466">
        <f t="shared" ref="C604:C612" si="63">SUM(D604:E604)</f>
        <v>0</v>
      </c>
      <c r="D604" s="819"/>
      <c r="E604" s="820"/>
      <c r="F604" s="13">
        <f t="shared" si="61"/>
        <v>0</v>
      </c>
    </row>
    <row r="605" spans="1:6" s="13" customFormat="1" hidden="1" x14ac:dyDescent="0.3">
      <c r="A605" s="1667"/>
      <c r="B605" s="306"/>
      <c r="C605" s="466">
        <f t="shared" si="63"/>
        <v>0</v>
      </c>
      <c r="D605" s="819"/>
      <c r="E605" s="820"/>
      <c r="F605" s="13">
        <f t="shared" si="61"/>
        <v>0</v>
      </c>
    </row>
    <row r="606" spans="1:6" s="13" customFormat="1" hidden="1" x14ac:dyDescent="0.3">
      <c r="A606" s="1667"/>
      <c r="B606" s="306"/>
      <c r="C606" s="466">
        <f t="shared" si="63"/>
        <v>0</v>
      </c>
      <c r="D606" s="819"/>
      <c r="E606" s="820"/>
      <c r="F606" s="13">
        <f t="shared" si="61"/>
        <v>0</v>
      </c>
    </row>
    <row r="607" spans="1:6" s="13" customFormat="1" hidden="1" x14ac:dyDescent="0.3">
      <c r="A607" s="1667"/>
      <c r="B607" s="306"/>
      <c r="C607" s="466">
        <f t="shared" si="63"/>
        <v>0</v>
      </c>
      <c r="D607" s="819"/>
      <c r="E607" s="820"/>
      <c r="F607" s="13">
        <f t="shared" si="61"/>
        <v>0</v>
      </c>
    </row>
    <row r="608" spans="1:6" s="13" customFormat="1" hidden="1" x14ac:dyDescent="0.3">
      <c r="A608" s="1667"/>
      <c r="B608" s="306"/>
      <c r="C608" s="466">
        <f t="shared" si="63"/>
        <v>0</v>
      </c>
      <c r="D608" s="819"/>
      <c r="E608" s="820"/>
      <c r="F608" s="13">
        <f t="shared" si="61"/>
        <v>0</v>
      </c>
    </row>
    <row r="609" spans="1:6" s="13" customFormat="1" hidden="1" x14ac:dyDescent="0.3">
      <c r="A609" s="1667"/>
      <c r="B609" s="306"/>
      <c r="C609" s="466">
        <f t="shared" si="63"/>
        <v>0</v>
      </c>
      <c r="D609" s="819"/>
      <c r="E609" s="820"/>
      <c r="F609" s="13">
        <f t="shared" si="61"/>
        <v>0</v>
      </c>
    </row>
    <row r="610" spans="1:6" s="13" customFormat="1" hidden="1" x14ac:dyDescent="0.3">
      <c r="A610" s="1667"/>
      <c r="B610" s="306"/>
      <c r="C610" s="466">
        <f t="shared" si="63"/>
        <v>0</v>
      </c>
      <c r="D610" s="819"/>
      <c r="E610" s="820"/>
      <c r="F610" s="13">
        <f t="shared" si="61"/>
        <v>0</v>
      </c>
    </row>
    <row r="611" spans="1:6" s="13" customFormat="1" hidden="1" x14ac:dyDescent="0.3">
      <c r="A611" s="1667"/>
      <c r="B611" s="306"/>
      <c r="C611" s="466">
        <f t="shared" si="63"/>
        <v>0</v>
      </c>
      <c r="D611" s="819"/>
      <c r="E611" s="820"/>
      <c r="F611" s="13">
        <f t="shared" si="61"/>
        <v>0</v>
      </c>
    </row>
    <row r="612" spans="1:6" s="13" customFormat="1" hidden="1" x14ac:dyDescent="0.3">
      <c r="A612" s="1667"/>
      <c r="B612" s="306"/>
      <c r="C612" s="466">
        <f t="shared" si="63"/>
        <v>0</v>
      </c>
      <c r="D612" s="819"/>
      <c r="E612" s="820"/>
      <c r="F612" s="13">
        <f t="shared" si="61"/>
        <v>0</v>
      </c>
    </row>
    <row r="613" spans="1:6" x14ac:dyDescent="0.3">
      <c r="A613" s="1673"/>
      <c r="B613" s="1322" t="s">
        <v>740</v>
      </c>
      <c r="C613" s="1614">
        <f>SUM(C603:C612)</f>
        <v>178632</v>
      </c>
      <c r="D613" s="1614">
        <f>SUM(D603:D612)</f>
        <v>0</v>
      </c>
      <c r="E613" s="1615">
        <f>SUM(E603:E612)</f>
        <v>178632</v>
      </c>
      <c r="F613" s="1523">
        <f t="shared" si="61"/>
        <v>357264</v>
      </c>
    </row>
    <row r="614" spans="1:6" ht="75" x14ac:dyDescent="0.3">
      <c r="A614" s="1669" t="s">
        <v>1127</v>
      </c>
      <c r="B614" s="1612" t="s">
        <v>1851</v>
      </c>
      <c r="C614" s="1615">
        <f>D614+E614</f>
        <v>528000</v>
      </c>
      <c r="D614" s="1615"/>
      <c r="E614" s="1615">
        <f>510000+18000</f>
        <v>528000</v>
      </c>
      <c r="F614" s="1523">
        <f t="shared" si="61"/>
        <v>1056000</v>
      </c>
    </row>
    <row r="615" spans="1:6" s="13" customFormat="1" hidden="1" x14ac:dyDescent="0.3">
      <c r="A615" s="1667"/>
      <c r="B615" s="306"/>
      <c r="C615" s="466">
        <f t="shared" ref="C615:C623" si="64">SUM(D615:E615)</f>
        <v>0</v>
      </c>
      <c r="D615" s="819"/>
      <c r="E615" s="820"/>
      <c r="F615" s="13">
        <f t="shared" si="61"/>
        <v>0</v>
      </c>
    </row>
    <row r="616" spans="1:6" s="13" customFormat="1" hidden="1" x14ac:dyDescent="0.3">
      <c r="A616" s="1667"/>
      <c r="B616" s="306"/>
      <c r="C616" s="466">
        <f t="shared" si="64"/>
        <v>0</v>
      </c>
      <c r="D616" s="819"/>
      <c r="E616" s="820"/>
      <c r="F616" s="13">
        <f t="shared" si="61"/>
        <v>0</v>
      </c>
    </row>
    <row r="617" spans="1:6" s="13" customFormat="1" hidden="1" x14ac:dyDescent="0.3">
      <c r="A617" s="1667"/>
      <c r="B617" s="306"/>
      <c r="C617" s="466">
        <f t="shared" si="64"/>
        <v>0</v>
      </c>
      <c r="D617" s="819"/>
      <c r="E617" s="820"/>
      <c r="F617" s="13">
        <f t="shared" si="61"/>
        <v>0</v>
      </c>
    </row>
    <row r="618" spans="1:6" s="13" customFormat="1" hidden="1" x14ac:dyDescent="0.3">
      <c r="A618" s="1667"/>
      <c r="B618" s="306"/>
      <c r="C618" s="466">
        <f t="shared" si="64"/>
        <v>0</v>
      </c>
      <c r="D618" s="819"/>
      <c r="E618" s="820"/>
      <c r="F618" s="13">
        <f t="shared" si="61"/>
        <v>0</v>
      </c>
    </row>
    <row r="619" spans="1:6" s="13" customFormat="1" hidden="1" x14ac:dyDescent="0.3">
      <c r="A619" s="1667"/>
      <c r="B619" s="306"/>
      <c r="C619" s="466">
        <f t="shared" si="64"/>
        <v>0</v>
      </c>
      <c r="D619" s="819"/>
      <c r="E619" s="820"/>
      <c r="F619" s="13">
        <f t="shared" si="61"/>
        <v>0</v>
      </c>
    </row>
    <row r="620" spans="1:6" s="13" customFormat="1" hidden="1" x14ac:dyDescent="0.3">
      <c r="A620" s="1667"/>
      <c r="B620" s="306"/>
      <c r="C620" s="466">
        <f t="shared" si="64"/>
        <v>0</v>
      </c>
      <c r="D620" s="819"/>
      <c r="E620" s="820"/>
      <c r="F620" s="13">
        <f t="shared" si="61"/>
        <v>0</v>
      </c>
    </row>
    <row r="621" spans="1:6" s="13" customFormat="1" hidden="1" x14ac:dyDescent="0.3">
      <c r="A621" s="1667"/>
      <c r="B621" s="306"/>
      <c r="C621" s="466">
        <f t="shared" si="64"/>
        <v>0</v>
      </c>
      <c r="D621" s="819"/>
      <c r="E621" s="820"/>
      <c r="F621" s="13">
        <f t="shared" si="61"/>
        <v>0</v>
      </c>
    </row>
    <row r="622" spans="1:6" s="13" customFormat="1" hidden="1" x14ac:dyDescent="0.3">
      <c r="A622" s="1667"/>
      <c r="B622" s="306"/>
      <c r="C622" s="466">
        <f t="shared" si="64"/>
        <v>0</v>
      </c>
      <c r="D622" s="819"/>
      <c r="E622" s="820"/>
      <c r="F622" s="13">
        <f t="shared" si="61"/>
        <v>0</v>
      </c>
    </row>
    <row r="623" spans="1:6" s="13" customFormat="1" hidden="1" x14ac:dyDescent="0.3">
      <c r="A623" s="1667"/>
      <c r="B623" s="306"/>
      <c r="C623" s="466">
        <f t="shared" si="64"/>
        <v>0</v>
      </c>
      <c r="D623" s="819"/>
      <c r="E623" s="820"/>
      <c r="F623" s="13">
        <f t="shared" si="61"/>
        <v>0</v>
      </c>
    </row>
    <row r="624" spans="1:6" x14ac:dyDescent="0.3">
      <c r="A624" s="1673"/>
      <c r="B624" s="1322" t="s">
        <v>740</v>
      </c>
      <c r="C624" s="1614">
        <f>SUM(C614:C623)</f>
        <v>528000</v>
      </c>
      <c r="D624" s="1614">
        <f>SUM(D614:D623)</f>
        <v>0</v>
      </c>
      <c r="E624" s="1615">
        <f>SUM(E614:E623)</f>
        <v>528000</v>
      </c>
      <c r="F624" s="1523">
        <f t="shared" si="61"/>
        <v>1056000</v>
      </c>
    </row>
    <row r="625" spans="1:6" ht="75" x14ac:dyDescent="0.3">
      <c r="A625" s="1669" t="s">
        <v>1129</v>
      </c>
      <c r="B625" s="1612" t="s">
        <v>2320</v>
      </c>
      <c r="C625" s="1613">
        <f>D625+E625</f>
        <v>303675</v>
      </c>
      <c r="D625" s="1613"/>
      <c r="E625" s="1613">
        <v>303675</v>
      </c>
      <c r="F625" s="1523">
        <f t="shared" si="61"/>
        <v>607350</v>
      </c>
    </row>
    <row r="626" spans="1:6" s="13" customFormat="1" hidden="1" x14ac:dyDescent="0.3">
      <c r="A626" s="1667"/>
      <c r="B626" s="306"/>
      <c r="C626" s="466">
        <f t="shared" ref="C626:C634" si="65">SUM(D626:E626)</f>
        <v>0</v>
      </c>
      <c r="D626" s="819"/>
      <c r="E626" s="820"/>
      <c r="F626" s="13">
        <f t="shared" si="61"/>
        <v>0</v>
      </c>
    </row>
    <row r="627" spans="1:6" s="13" customFormat="1" hidden="1" x14ac:dyDescent="0.3">
      <c r="A627" s="1667"/>
      <c r="B627" s="306"/>
      <c r="C627" s="466">
        <f t="shared" si="65"/>
        <v>0</v>
      </c>
      <c r="D627" s="819"/>
      <c r="E627" s="820"/>
      <c r="F627" s="13">
        <f t="shared" si="61"/>
        <v>0</v>
      </c>
    </row>
    <row r="628" spans="1:6" s="13" customFormat="1" hidden="1" x14ac:dyDescent="0.3">
      <c r="A628" s="1667"/>
      <c r="B628" s="306"/>
      <c r="C628" s="466">
        <f t="shared" si="65"/>
        <v>0</v>
      </c>
      <c r="D628" s="819"/>
      <c r="E628" s="820"/>
      <c r="F628" s="13">
        <f t="shared" si="61"/>
        <v>0</v>
      </c>
    </row>
    <row r="629" spans="1:6" s="13" customFormat="1" hidden="1" x14ac:dyDescent="0.3">
      <c r="A629" s="1667"/>
      <c r="B629" s="306"/>
      <c r="C629" s="466">
        <f t="shared" si="65"/>
        <v>0</v>
      </c>
      <c r="D629" s="819"/>
      <c r="E629" s="820"/>
      <c r="F629" s="13">
        <f t="shared" si="61"/>
        <v>0</v>
      </c>
    </row>
    <row r="630" spans="1:6" s="13" customFormat="1" hidden="1" x14ac:dyDescent="0.3">
      <c r="A630" s="1667"/>
      <c r="B630" s="306"/>
      <c r="C630" s="466">
        <f t="shared" si="65"/>
        <v>0</v>
      </c>
      <c r="D630" s="819"/>
      <c r="E630" s="820"/>
      <c r="F630" s="13">
        <f t="shared" si="61"/>
        <v>0</v>
      </c>
    </row>
    <row r="631" spans="1:6" s="13" customFormat="1" hidden="1" x14ac:dyDescent="0.3">
      <c r="A631" s="1667"/>
      <c r="B631" s="306"/>
      <c r="C631" s="466">
        <f t="shared" si="65"/>
        <v>0</v>
      </c>
      <c r="D631" s="819"/>
      <c r="E631" s="820"/>
      <c r="F631" s="13">
        <f t="shared" si="61"/>
        <v>0</v>
      </c>
    </row>
    <row r="632" spans="1:6" s="13" customFormat="1" hidden="1" x14ac:dyDescent="0.3">
      <c r="A632" s="1667"/>
      <c r="B632" s="306"/>
      <c r="C632" s="466">
        <f t="shared" si="65"/>
        <v>0</v>
      </c>
      <c r="D632" s="819"/>
      <c r="E632" s="820"/>
      <c r="F632" s="13">
        <f t="shared" si="61"/>
        <v>0</v>
      </c>
    </row>
    <row r="633" spans="1:6" s="13" customFormat="1" hidden="1" x14ac:dyDescent="0.3">
      <c r="A633" s="1667"/>
      <c r="B633" s="306"/>
      <c r="C633" s="466">
        <f t="shared" si="65"/>
        <v>0</v>
      </c>
      <c r="D633" s="819"/>
      <c r="E633" s="820"/>
      <c r="F633" s="13">
        <f t="shared" si="61"/>
        <v>0</v>
      </c>
    </row>
    <row r="634" spans="1:6" s="13" customFormat="1" hidden="1" x14ac:dyDescent="0.3">
      <c r="A634" s="1667"/>
      <c r="B634" s="306"/>
      <c r="C634" s="466">
        <f t="shared" si="65"/>
        <v>0</v>
      </c>
      <c r="D634" s="819"/>
      <c r="E634" s="820"/>
      <c r="F634" s="13">
        <f t="shared" si="61"/>
        <v>0</v>
      </c>
    </row>
    <row r="635" spans="1:6" x14ac:dyDescent="0.3">
      <c r="A635" s="1673"/>
      <c r="B635" s="1322" t="s">
        <v>740</v>
      </c>
      <c r="C635" s="1614">
        <f>SUM(C625:C634)</f>
        <v>303675</v>
      </c>
      <c r="D635" s="1614">
        <f>SUM(D625:D634)</f>
        <v>0</v>
      </c>
      <c r="E635" s="1615">
        <f>SUM(E625:E634)</f>
        <v>303675</v>
      </c>
      <c r="F635" s="1523">
        <f t="shared" si="61"/>
        <v>607350</v>
      </c>
    </row>
    <row r="636" spans="1:6" ht="56.25" x14ac:dyDescent="0.3">
      <c r="A636" s="1669" t="s">
        <v>1131</v>
      </c>
      <c r="B636" s="1612" t="s">
        <v>2328</v>
      </c>
      <c r="C636" s="1613">
        <f>D636+E636</f>
        <v>83200</v>
      </c>
      <c r="D636" s="1613"/>
      <c r="E636" s="1613">
        <v>83200</v>
      </c>
      <c r="F636" s="1523">
        <f t="shared" si="61"/>
        <v>166400</v>
      </c>
    </row>
    <row r="637" spans="1:6" s="13" customFormat="1" hidden="1" x14ac:dyDescent="0.3">
      <c r="A637" s="1667"/>
      <c r="B637" s="306"/>
      <c r="C637" s="466">
        <f t="shared" ref="C637:C645" si="66">SUM(D637:E637)</f>
        <v>0</v>
      </c>
      <c r="D637" s="819"/>
      <c r="E637" s="820"/>
      <c r="F637" s="13">
        <f t="shared" si="61"/>
        <v>0</v>
      </c>
    </row>
    <row r="638" spans="1:6" s="13" customFormat="1" hidden="1" x14ac:dyDescent="0.3">
      <c r="A638" s="1667"/>
      <c r="B638" s="306"/>
      <c r="C638" s="466">
        <f t="shared" si="66"/>
        <v>0</v>
      </c>
      <c r="D638" s="819"/>
      <c r="E638" s="820"/>
      <c r="F638" s="13">
        <f t="shared" si="61"/>
        <v>0</v>
      </c>
    </row>
    <row r="639" spans="1:6" s="13" customFormat="1" hidden="1" x14ac:dyDescent="0.3">
      <c r="A639" s="1667"/>
      <c r="B639" s="306"/>
      <c r="C639" s="466">
        <f t="shared" si="66"/>
        <v>0</v>
      </c>
      <c r="D639" s="819"/>
      <c r="E639" s="820"/>
      <c r="F639" s="13">
        <f t="shared" si="61"/>
        <v>0</v>
      </c>
    </row>
    <row r="640" spans="1:6" s="13" customFormat="1" hidden="1" x14ac:dyDescent="0.3">
      <c r="A640" s="1667"/>
      <c r="B640" s="306"/>
      <c r="C640" s="466">
        <f t="shared" si="66"/>
        <v>0</v>
      </c>
      <c r="D640" s="819"/>
      <c r="E640" s="820"/>
      <c r="F640" s="13">
        <f t="shared" si="61"/>
        <v>0</v>
      </c>
    </row>
    <row r="641" spans="1:6" s="13" customFormat="1" hidden="1" x14ac:dyDescent="0.3">
      <c r="A641" s="1667"/>
      <c r="B641" s="306"/>
      <c r="C641" s="466">
        <f t="shared" si="66"/>
        <v>0</v>
      </c>
      <c r="D641" s="819"/>
      <c r="E641" s="820"/>
      <c r="F641" s="13">
        <f t="shared" si="61"/>
        <v>0</v>
      </c>
    </row>
    <row r="642" spans="1:6" s="13" customFormat="1" hidden="1" x14ac:dyDescent="0.3">
      <c r="A642" s="1667"/>
      <c r="B642" s="306"/>
      <c r="C642" s="466">
        <f t="shared" si="66"/>
        <v>0</v>
      </c>
      <c r="D642" s="819"/>
      <c r="E642" s="820"/>
      <c r="F642" s="13">
        <f t="shared" si="61"/>
        <v>0</v>
      </c>
    </row>
    <row r="643" spans="1:6" s="13" customFormat="1" hidden="1" x14ac:dyDescent="0.3">
      <c r="A643" s="1667"/>
      <c r="B643" s="306"/>
      <c r="C643" s="466">
        <f t="shared" si="66"/>
        <v>0</v>
      </c>
      <c r="D643" s="819"/>
      <c r="E643" s="820"/>
      <c r="F643" s="13">
        <f t="shared" si="61"/>
        <v>0</v>
      </c>
    </row>
    <row r="644" spans="1:6" s="13" customFormat="1" hidden="1" x14ac:dyDescent="0.3">
      <c r="A644" s="1667"/>
      <c r="B644" s="306"/>
      <c r="C644" s="466">
        <f t="shared" si="66"/>
        <v>0</v>
      </c>
      <c r="D644" s="819"/>
      <c r="E644" s="820"/>
      <c r="F644" s="13">
        <f t="shared" si="61"/>
        <v>0</v>
      </c>
    </row>
    <row r="645" spans="1:6" s="13" customFormat="1" hidden="1" x14ac:dyDescent="0.3">
      <c r="A645" s="1667"/>
      <c r="B645" s="306"/>
      <c r="C645" s="466">
        <f t="shared" si="66"/>
        <v>0</v>
      </c>
      <c r="D645" s="819"/>
      <c r="E645" s="820"/>
      <c r="F645" s="13">
        <f t="shared" si="61"/>
        <v>0</v>
      </c>
    </row>
    <row r="646" spans="1:6" x14ac:dyDescent="0.3">
      <c r="A646" s="1673"/>
      <c r="B646" s="1322" t="s">
        <v>740</v>
      </c>
      <c r="C646" s="1614">
        <f>SUM(C636:C645)</f>
        <v>83200</v>
      </c>
      <c r="D646" s="1614">
        <f>SUM(D636:D645)</f>
        <v>0</v>
      </c>
      <c r="E646" s="1615">
        <f>SUM(E636:E645)</f>
        <v>83200</v>
      </c>
      <c r="F646" s="1523">
        <f t="shared" si="61"/>
        <v>166400</v>
      </c>
    </row>
    <row r="647" spans="1:6" x14ac:dyDescent="0.3">
      <c r="A647" s="1669" t="s">
        <v>1133</v>
      </c>
      <c r="B647" s="1612" t="s">
        <v>1860</v>
      </c>
      <c r="C647" s="1613">
        <f>D647+E647</f>
        <v>210000</v>
      </c>
      <c r="D647" s="1613"/>
      <c r="E647" s="1613">
        <v>210000</v>
      </c>
      <c r="F647" s="1523">
        <f t="shared" si="61"/>
        <v>420000</v>
      </c>
    </row>
    <row r="648" spans="1:6" s="13" customFormat="1" hidden="1" x14ac:dyDescent="0.3">
      <c r="A648" s="1667"/>
      <c r="B648" s="306"/>
      <c r="C648" s="466">
        <f t="shared" ref="C648:C656" si="67">SUM(D648:E648)</f>
        <v>0</v>
      </c>
      <c r="D648" s="819"/>
      <c r="E648" s="820"/>
      <c r="F648" s="13">
        <f t="shared" si="61"/>
        <v>0</v>
      </c>
    </row>
    <row r="649" spans="1:6" s="13" customFormat="1" hidden="1" x14ac:dyDescent="0.3">
      <c r="A649" s="1667"/>
      <c r="B649" s="306"/>
      <c r="C649" s="466">
        <f t="shared" si="67"/>
        <v>0</v>
      </c>
      <c r="D649" s="819"/>
      <c r="E649" s="820"/>
      <c r="F649" s="13">
        <f t="shared" si="61"/>
        <v>0</v>
      </c>
    </row>
    <row r="650" spans="1:6" s="13" customFormat="1" hidden="1" x14ac:dyDescent="0.3">
      <c r="A650" s="1667"/>
      <c r="B650" s="306"/>
      <c r="C650" s="466">
        <f t="shared" si="67"/>
        <v>0</v>
      </c>
      <c r="D650" s="819"/>
      <c r="E650" s="820"/>
      <c r="F650" s="13">
        <f t="shared" ref="F650:F713" si="68">SUM(C650:E650)</f>
        <v>0</v>
      </c>
    </row>
    <row r="651" spans="1:6" s="13" customFormat="1" hidden="1" x14ac:dyDescent="0.3">
      <c r="A651" s="1667"/>
      <c r="B651" s="306"/>
      <c r="C651" s="466">
        <f t="shared" si="67"/>
        <v>0</v>
      </c>
      <c r="D651" s="819"/>
      <c r="E651" s="820"/>
      <c r="F651" s="13">
        <f t="shared" si="68"/>
        <v>0</v>
      </c>
    </row>
    <row r="652" spans="1:6" s="13" customFormat="1" hidden="1" x14ac:dyDescent="0.3">
      <c r="A652" s="1667"/>
      <c r="B652" s="306"/>
      <c r="C652" s="466">
        <f t="shared" si="67"/>
        <v>0</v>
      </c>
      <c r="D652" s="819"/>
      <c r="E652" s="820"/>
      <c r="F652" s="13">
        <f t="shared" si="68"/>
        <v>0</v>
      </c>
    </row>
    <row r="653" spans="1:6" s="13" customFormat="1" hidden="1" x14ac:dyDescent="0.3">
      <c r="A653" s="1667"/>
      <c r="B653" s="306"/>
      <c r="C653" s="466">
        <f t="shared" si="67"/>
        <v>0</v>
      </c>
      <c r="D653" s="819"/>
      <c r="E653" s="820"/>
      <c r="F653" s="13">
        <f t="shared" si="68"/>
        <v>0</v>
      </c>
    </row>
    <row r="654" spans="1:6" s="13" customFormat="1" hidden="1" x14ac:dyDescent="0.3">
      <c r="A654" s="1667"/>
      <c r="B654" s="306"/>
      <c r="C654" s="466">
        <f t="shared" si="67"/>
        <v>0</v>
      </c>
      <c r="D654" s="819"/>
      <c r="E654" s="820"/>
      <c r="F654" s="13">
        <f t="shared" si="68"/>
        <v>0</v>
      </c>
    </row>
    <row r="655" spans="1:6" s="13" customFormat="1" hidden="1" x14ac:dyDescent="0.3">
      <c r="A655" s="1667"/>
      <c r="B655" s="306"/>
      <c r="C655" s="466">
        <f t="shared" si="67"/>
        <v>0</v>
      </c>
      <c r="D655" s="819"/>
      <c r="E655" s="820"/>
      <c r="F655" s="13">
        <f t="shared" si="68"/>
        <v>0</v>
      </c>
    </row>
    <row r="656" spans="1:6" s="13" customFormat="1" hidden="1" x14ac:dyDescent="0.3">
      <c r="A656" s="1667"/>
      <c r="B656" s="306"/>
      <c r="C656" s="466">
        <f t="shared" si="67"/>
        <v>0</v>
      </c>
      <c r="D656" s="819"/>
      <c r="E656" s="820"/>
      <c r="F656" s="13">
        <f t="shared" si="68"/>
        <v>0</v>
      </c>
    </row>
    <row r="657" spans="1:6" ht="64.150000000000006" customHeight="1" x14ac:dyDescent="0.3">
      <c r="A657" s="1673"/>
      <c r="B657" s="1322" t="s">
        <v>740</v>
      </c>
      <c r="C657" s="1614">
        <f>SUM(C647:C656)</f>
        <v>210000</v>
      </c>
      <c r="D657" s="1614">
        <f>SUM(D647:D656)</f>
        <v>0</v>
      </c>
      <c r="E657" s="1615">
        <f>SUM(E647:E656)</f>
        <v>210000</v>
      </c>
      <c r="F657" s="1523">
        <f t="shared" si="68"/>
        <v>420000</v>
      </c>
    </row>
    <row r="658" spans="1:6" ht="37.5" x14ac:dyDescent="0.3">
      <c r="A658" s="1669" t="s">
        <v>1135</v>
      </c>
      <c r="B658" s="1612" t="s">
        <v>1958</v>
      </c>
      <c r="C658" s="1613">
        <f>D658+E658</f>
        <v>108000</v>
      </c>
      <c r="D658" s="1613"/>
      <c r="E658" s="1613">
        <v>108000</v>
      </c>
      <c r="F658" s="1523">
        <f t="shared" si="68"/>
        <v>216000</v>
      </c>
    </row>
    <row r="659" spans="1:6" s="13" customFormat="1" hidden="1" x14ac:dyDescent="0.3">
      <c r="A659" s="1667"/>
      <c r="B659" s="306"/>
      <c r="C659" s="466">
        <f t="shared" ref="C659:C667" si="69">SUM(D659:E659)</f>
        <v>0</v>
      </c>
      <c r="D659" s="819"/>
      <c r="E659" s="820"/>
      <c r="F659" s="13">
        <f t="shared" si="68"/>
        <v>0</v>
      </c>
    </row>
    <row r="660" spans="1:6" s="13" customFormat="1" hidden="1" x14ac:dyDescent="0.3">
      <c r="A660" s="1667"/>
      <c r="B660" s="306"/>
      <c r="C660" s="466">
        <f t="shared" si="69"/>
        <v>0</v>
      </c>
      <c r="D660" s="819"/>
      <c r="E660" s="820"/>
      <c r="F660" s="13">
        <f t="shared" si="68"/>
        <v>0</v>
      </c>
    </row>
    <row r="661" spans="1:6" s="13" customFormat="1" hidden="1" x14ac:dyDescent="0.3">
      <c r="A661" s="1667"/>
      <c r="B661" s="306"/>
      <c r="C661" s="466">
        <f t="shared" si="69"/>
        <v>0</v>
      </c>
      <c r="D661" s="819"/>
      <c r="E661" s="820"/>
      <c r="F661" s="13">
        <f t="shared" si="68"/>
        <v>0</v>
      </c>
    </row>
    <row r="662" spans="1:6" s="13" customFormat="1" hidden="1" x14ac:dyDescent="0.3">
      <c r="A662" s="1667"/>
      <c r="B662" s="306"/>
      <c r="C662" s="466">
        <f t="shared" si="69"/>
        <v>0</v>
      </c>
      <c r="D662" s="819"/>
      <c r="E662" s="820"/>
      <c r="F662" s="13">
        <f t="shared" si="68"/>
        <v>0</v>
      </c>
    </row>
    <row r="663" spans="1:6" s="13" customFormat="1" hidden="1" x14ac:dyDescent="0.3">
      <c r="A663" s="1667"/>
      <c r="B663" s="306"/>
      <c r="C663" s="466">
        <f t="shared" si="69"/>
        <v>0</v>
      </c>
      <c r="D663" s="819"/>
      <c r="E663" s="820"/>
      <c r="F663" s="13">
        <f t="shared" si="68"/>
        <v>0</v>
      </c>
    </row>
    <row r="664" spans="1:6" s="13" customFormat="1" hidden="1" x14ac:dyDescent="0.3">
      <c r="A664" s="1667"/>
      <c r="B664" s="306"/>
      <c r="C664" s="466">
        <f t="shared" si="69"/>
        <v>0</v>
      </c>
      <c r="D664" s="819"/>
      <c r="E664" s="820"/>
      <c r="F664" s="13">
        <f t="shared" si="68"/>
        <v>0</v>
      </c>
    </row>
    <row r="665" spans="1:6" s="13" customFormat="1" hidden="1" x14ac:dyDescent="0.3">
      <c r="A665" s="1667"/>
      <c r="B665" s="306"/>
      <c r="C665" s="466">
        <f t="shared" si="69"/>
        <v>0</v>
      </c>
      <c r="D665" s="819"/>
      <c r="E665" s="820"/>
      <c r="F665" s="13">
        <f t="shared" si="68"/>
        <v>0</v>
      </c>
    </row>
    <row r="666" spans="1:6" s="13" customFormat="1" hidden="1" x14ac:dyDescent="0.3">
      <c r="A666" s="1667"/>
      <c r="B666" s="306"/>
      <c r="C666" s="466">
        <f t="shared" si="69"/>
        <v>0</v>
      </c>
      <c r="D666" s="819"/>
      <c r="E666" s="820"/>
      <c r="F666" s="13">
        <f t="shared" si="68"/>
        <v>0</v>
      </c>
    </row>
    <row r="667" spans="1:6" s="13" customFormat="1" hidden="1" x14ac:dyDescent="0.3">
      <c r="A667" s="1667"/>
      <c r="B667" s="306"/>
      <c r="C667" s="466">
        <f t="shared" si="69"/>
        <v>0</v>
      </c>
      <c r="D667" s="819"/>
      <c r="E667" s="820"/>
      <c r="F667" s="13">
        <f t="shared" si="68"/>
        <v>0</v>
      </c>
    </row>
    <row r="668" spans="1:6" ht="47.45" customHeight="1" x14ac:dyDescent="0.3">
      <c r="A668" s="1673"/>
      <c r="B668" s="1322" t="s">
        <v>740</v>
      </c>
      <c r="C668" s="1614">
        <f>SUM(C658:C667)</f>
        <v>108000</v>
      </c>
      <c r="D668" s="1614">
        <f>SUM(D658:D667)</f>
        <v>0</v>
      </c>
      <c r="E668" s="1615">
        <f>SUM(E658:E667)</f>
        <v>108000</v>
      </c>
      <c r="F668" s="1523">
        <f t="shared" si="68"/>
        <v>216000</v>
      </c>
    </row>
    <row r="669" spans="1:6" ht="56.25" x14ac:dyDescent="0.3">
      <c r="A669" s="1669" t="s">
        <v>1137</v>
      </c>
      <c r="B669" s="1612" t="s">
        <v>1880</v>
      </c>
      <c r="C669" s="1613">
        <f>D669+E669</f>
        <v>492000</v>
      </c>
      <c r="D669" s="1613"/>
      <c r="E669" s="1613">
        <f>200000+292000</f>
        <v>492000</v>
      </c>
      <c r="F669" s="1523">
        <f t="shared" si="68"/>
        <v>984000</v>
      </c>
    </row>
    <row r="670" spans="1:6" ht="97.9" customHeight="1" x14ac:dyDescent="0.3">
      <c r="A670" s="1667"/>
      <c r="B670" s="1612" t="s">
        <v>1952</v>
      </c>
      <c r="C670" s="1613">
        <f>D670+E670</f>
        <v>743940</v>
      </c>
      <c r="D670" s="1613"/>
      <c r="E670" s="1613">
        <f>721500+22440</f>
        <v>743940</v>
      </c>
      <c r="F670" s="1523">
        <f t="shared" si="68"/>
        <v>1487880</v>
      </c>
    </row>
    <row r="671" spans="1:6" s="13" customFormat="1" hidden="1" x14ac:dyDescent="0.3">
      <c r="A671" s="1667"/>
      <c r="B671" s="306"/>
      <c r="C671" s="466">
        <f t="shared" ref="C671:C677" si="70">SUM(D671:E671)</f>
        <v>0</v>
      </c>
      <c r="D671" s="819"/>
      <c r="E671" s="820"/>
      <c r="F671" s="13">
        <f t="shared" si="68"/>
        <v>0</v>
      </c>
    </row>
    <row r="672" spans="1:6" s="13" customFormat="1" hidden="1" x14ac:dyDescent="0.3">
      <c r="A672" s="1667"/>
      <c r="B672" s="306"/>
      <c r="C672" s="466">
        <f t="shared" si="70"/>
        <v>0</v>
      </c>
      <c r="D672" s="819"/>
      <c r="E672" s="820"/>
      <c r="F672" s="13">
        <f t="shared" si="68"/>
        <v>0</v>
      </c>
    </row>
    <row r="673" spans="1:6" s="13" customFormat="1" hidden="1" x14ac:dyDescent="0.3">
      <c r="A673" s="1667"/>
      <c r="B673" s="306"/>
      <c r="C673" s="466">
        <f t="shared" si="70"/>
        <v>0</v>
      </c>
      <c r="D673" s="819"/>
      <c r="E673" s="820"/>
      <c r="F673" s="13">
        <f t="shared" si="68"/>
        <v>0</v>
      </c>
    </row>
    <row r="674" spans="1:6" s="13" customFormat="1" hidden="1" x14ac:dyDescent="0.3">
      <c r="A674" s="1667"/>
      <c r="B674" s="306"/>
      <c r="C674" s="466">
        <f t="shared" si="70"/>
        <v>0</v>
      </c>
      <c r="D674" s="819"/>
      <c r="E674" s="820"/>
      <c r="F674" s="13">
        <f t="shared" si="68"/>
        <v>0</v>
      </c>
    </row>
    <row r="675" spans="1:6" s="13" customFormat="1" hidden="1" x14ac:dyDescent="0.3">
      <c r="A675" s="1667"/>
      <c r="B675" s="306"/>
      <c r="C675" s="466">
        <f t="shared" si="70"/>
        <v>0</v>
      </c>
      <c r="D675" s="819"/>
      <c r="E675" s="820"/>
      <c r="F675" s="13">
        <f t="shared" si="68"/>
        <v>0</v>
      </c>
    </row>
    <row r="676" spans="1:6" s="13" customFormat="1" hidden="1" x14ac:dyDescent="0.3">
      <c r="A676" s="1667"/>
      <c r="B676" s="306"/>
      <c r="C676" s="466">
        <f t="shared" si="70"/>
        <v>0</v>
      </c>
      <c r="D676" s="819"/>
      <c r="E676" s="820"/>
      <c r="F676" s="13">
        <f t="shared" si="68"/>
        <v>0</v>
      </c>
    </row>
    <row r="677" spans="1:6" s="13" customFormat="1" hidden="1" x14ac:dyDescent="0.3">
      <c r="A677" s="1667"/>
      <c r="B677" s="306"/>
      <c r="C677" s="466">
        <f t="shared" si="70"/>
        <v>0</v>
      </c>
      <c r="D677" s="819"/>
      <c r="E677" s="820"/>
      <c r="F677" s="13">
        <f t="shared" si="68"/>
        <v>0</v>
      </c>
    </row>
    <row r="678" spans="1:6" x14ac:dyDescent="0.3">
      <c r="A678" s="1673"/>
      <c r="B678" s="1322" t="s">
        <v>740</v>
      </c>
      <c r="C678" s="1614">
        <f>SUM(C669:C677)</f>
        <v>1235940</v>
      </c>
      <c r="D678" s="1614">
        <f>SUM(D669:D677)</f>
        <v>0</v>
      </c>
      <c r="E678" s="1615">
        <f>SUM(E669:E677)</f>
        <v>1235940</v>
      </c>
      <c r="F678" s="1523">
        <f t="shared" si="68"/>
        <v>2471880</v>
      </c>
    </row>
    <row r="679" spans="1:6" ht="93.75" x14ac:dyDescent="0.3">
      <c r="A679" s="1669" t="s">
        <v>1139</v>
      </c>
      <c r="B679" s="1322" t="s">
        <v>2291</v>
      </c>
      <c r="C679" s="1614">
        <f>SUM(D679:E679)</f>
        <v>833616</v>
      </c>
      <c r="D679" s="1617"/>
      <c r="E679" s="1618">
        <v>833616</v>
      </c>
      <c r="F679" s="1523">
        <f t="shared" si="68"/>
        <v>1667232</v>
      </c>
    </row>
    <row r="680" spans="1:6" s="13" customFormat="1" hidden="1" x14ac:dyDescent="0.3">
      <c r="A680" s="1667"/>
      <c r="B680" s="306"/>
      <c r="C680" s="466">
        <f t="shared" ref="C680:C688" si="71">SUM(D680:E680)</f>
        <v>0</v>
      </c>
      <c r="D680" s="819"/>
      <c r="E680" s="820"/>
      <c r="F680" s="13">
        <f t="shared" si="68"/>
        <v>0</v>
      </c>
    </row>
    <row r="681" spans="1:6" s="13" customFormat="1" hidden="1" x14ac:dyDescent="0.3">
      <c r="A681" s="1667"/>
      <c r="B681" s="306"/>
      <c r="C681" s="466">
        <f t="shared" si="71"/>
        <v>0</v>
      </c>
      <c r="D681" s="819"/>
      <c r="E681" s="820"/>
      <c r="F681" s="13">
        <f t="shared" si="68"/>
        <v>0</v>
      </c>
    </row>
    <row r="682" spans="1:6" s="13" customFormat="1" hidden="1" x14ac:dyDescent="0.3">
      <c r="A682" s="1667"/>
      <c r="B682" s="306"/>
      <c r="C682" s="466">
        <f t="shared" si="71"/>
        <v>0</v>
      </c>
      <c r="D682" s="819"/>
      <c r="E682" s="820"/>
      <c r="F682" s="13">
        <f t="shared" si="68"/>
        <v>0</v>
      </c>
    </row>
    <row r="683" spans="1:6" s="13" customFormat="1" hidden="1" x14ac:dyDescent="0.3">
      <c r="A683" s="1667"/>
      <c r="B683" s="306"/>
      <c r="C683" s="466">
        <f t="shared" si="71"/>
        <v>0</v>
      </c>
      <c r="D683" s="819"/>
      <c r="E683" s="820"/>
      <c r="F683" s="13">
        <f t="shared" si="68"/>
        <v>0</v>
      </c>
    </row>
    <row r="684" spans="1:6" s="13" customFormat="1" hidden="1" x14ac:dyDescent="0.3">
      <c r="A684" s="1667"/>
      <c r="B684" s="306"/>
      <c r="C684" s="466">
        <f t="shared" si="71"/>
        <v>0</v>
      </c>
      <c r="D684" s="819"/>
      <c r="E684" s="820"/>
      <c r="F684" s="13">
        <f t="shared" si="68"/>
        <v>0</v>
      </c>
    </row>
    <row r="685" spans="1:6" s="13" customFormat="1" hidden="1" x14ac:dyDescent="0.3">
      <c r="A685" s="1667"/>
      <c r="B685" s="306"/>
      <c r="C685" s="466">
        <f t="shared" si="71"/>
        <v>0</v>
      </c>
      <c r="D685" s="819"/>
      <c r="E685" s="820"/>
      <c r="F685" s="13">
        <f t="shared" si="68"/>
        <v>0</v>
      </c>
    </row>
    <row r="686" spans="1:6" s="13" customFormat="1" hidden="1" x14ac:dyDescent="0.3">
      <c r="A686" s="1667"/>
      <c r="B686" s="306"/>
      <c r="C686" s="466">
        <f t="shared" si="71"/>
        <v>0</v>
      </c>
      <c r="D686" s="819"/>
      <c r="E686" s="820"/>
      <c r="F686" s="13">
        <f t="shared" si="68"/>
        <v>0</v>
      </c>
    </row>
    <row r="687" spans="1:6" s="13" customFormat="1" hidden="1" x14ac:dyDescent="0.3">
      <c r="A687" s="1667"/>
      <c r="B687" s="306"/>
      <c r="C687" s="466">
        <f t="shared" si="71"/>
        <v>0</v>
      </c>
      <c r="D687" s="819"/>
      <c r="E687" s="820"/>
      <c r="F687" s="13">
        <f t="shared" si="68"/>
        <v>0</v>
      </c>
    </row>
    <row r="688" spans="1:6" s="13" customFormat="1" hidden="1" x14ac:dyDescent="0.3">
      <c r="A688" s="1667"/>
      <c r="B688" s="306"/>
      <c r="C688" s="466">
        <f t="shared" si="71"/>
        <v>0</v>
      </c>
      <c r="D688" s="819"/>
      <c r="E688" s="820"/>
      <c r="F688" s="13">
        <f t="shared" si="68"/>
        <v>0</v>
      </c>
    </row>
    <row r="689" spans="1:6" x14ac:dyDescent="0.3">
      <c r="A689" s="1673"/>
      <c r="B689" s="1322" t="s">
        <v>740</v>
      </c>
      <c r="C689" s="1614">
        <f>SUM(C679:C688)</f>
        <v>833616</v>
      </c>
      <c r="D689" s="1614">
        <f>SUM(D679:D688)</f>
        <v>0</v>
      </c>
      <c r="E689" s="1615">
        <f>SUM(E679:E688)</f>
        <v>833616</v>
      </c>
      <c r="F689" s="1523">
        <f t="shared" si="68"/>
        <v>1667232</v>
      </c>
    </row>
    <row r="690" spans="1:6" ht="75" x14ac:dyDescent="0.3">
      <c r="A690" s="1669" t="s">
        <v>1141</v>
      </c>
      <c r="B690" s="1612" t="s">
        <v>1878</v>
      </c>
      <c r="C690" s="1613">
        <f>D690+E690</f>
        <v>624000</v>
      </c>
      <c r="D690" s="1613"/>
      <c r="E690" s="1613">
        <v>624000</v>
      </c>
      <c r="F690" s="1523">
        <f t="shared" si="68"/>
        <v>1248000</v>
      </c>
    </row>
    <row r="691" spans="1:6" s="13" customFormat="1" hidden="1" x14ac:dyDescent="0.3">
      <c r="A691" s="1667"/>
      <c r="B691" s="306"/>
      <c r="C691" s="466">
        <f t="shared" ref="C691:C699" si="72">SUM(D691:E691)</f>
        <v>0</v>
      </c>
      <c r="D691" s="819"/>
      <c r="E691" s="820"/>
      <c r="F691" s="13">
        <f t="shared" si="68"/>
        <v>0</v>
      </c>
    </row>
    <row r="692" spans="1:6" s="13" customFormat="1" hidden="1" x14ac:dyDescent="0.3">
      <c r="A692" s="1667"/>
      <c r="B692" s="306"/>
      <c r="C692" s="466">
        <f t="shared" si="72"/>
        <v>0</v>
      </c>
      <c r="D692" s="819"/>
      <c r="E692" s="820"/>
      <c r="F692" s="13">
        <f t="shared" si="68"/>
        <v>0</v>
      </c>
    </row>
    <row r="693" spans="1:6" s="13" customFormat="1" hidden="1" x14ac:dyDescent="0.3">
      <c r="A693" s="1667"/>
      <c r="B693" s="306"/>
      <c r="C693" s="466">
        <f t="shared" si="72"/>
        <v>0</v>
      </c>
      <c r="D693" s="819"/>
      <c r="E693" s="820"/>
      <c r="F693" s="13">
        <f t="shared" si="68"/>
        <v>0</v>
      </c>
    </row>
    <row r="694" spans="1:6" s="13" customFormat="1" hidden="1" x14ac:dyDescent="0.3">
      <c r="A694" s="1667"/>
      <c r="B694" s="306"/>
      <c r="C694" s="466">
        <f t="shared" si="72"/>
        <v>0</v>
      </c>
      <c r="D694" s="819"/>
      <c r="E694" s="820"/>
      <c r="F694" s="13">
        <f t="shared" si="68"/>
        <v>0</v>
      </c>
    </row>
    <row r="695" spans="1:6" s="13" customFormat="1" hidden="1" x14ac:dyDescent="0.3">
      <c r="A695" s="1667"/>
      <c r="B695" s="306"/>
      <c r="C695" s="466">
        <f t="shared" si="72"/>
        <v>0</v>
      </c>
      <c r="D695" s="819"/>
      <c r="E695" s="820"/>
      <c r="F695" s="13">
        <f t="shared" si="68"/>
        <v>0</v>
      </c>
    </row>
    <row r="696" spans="1:6" s="13" customFormat="1" hidden="1" x14ac:dyDescent="0.3">
      <c r="A696" s="1667"/>
      <c r="B696" s="306"/>
      <c r="C696" s="466">
        <f t="shared" si="72"/>
        <v>0</v>
      </c>
      <c r="D696" s="819"/>
      <c r="E696" s="820"/>
      <c r="F696" s="13">
        <f t="shared" si="68"/>
        <v>0</v>
      </c>
    </row>
    <row r="697" spans="1:6" s="13" customFormat="1" hidden="1" x14ac:dyDescent="0.3">
      <c r="A697" s="1667"/>
      <c r="B697" s="306"/>
      <c r="C697" s="466">
        <f t="shared" si="72"/>
        <v>0</v>
      </c>
      <c r="D697" s="819"/>
      <c r="E697" s="820"/>
      <c r="F697" s="13">
        <f t="shared" si="68"/>
        <v>0</v>
      </c>
    </row>
    <row r="698" spans="1:6" s="13" customFormat="1" hidden="1" x14ac:dyDescent="0.3">
      <c r="A698" s="1667"/>
      <c r="B698" s="306"/>
      <c r="C698" s="466">
        <f t="shared" si="72"/>
        <v>0</v>
      </c>
      <c r="D698" s="819"/>
      <c r="E698" s="820"/>
      <c r="F698" s="13">
        <f t="shared" si="68"/>
        <v>0</v>
      </c>
    </row>
    <row r="699" spans="1:6" s="13" customFormat="1" hidden="1" x14ac:dyDescent="0.3">
      <c r="A699" s="1667"/>
      <c r="B699" s="306"/>
      <c r="C699" s="466">
        <f t="shared" si="72"/>
        <v>0</v>
      </c>
      <c r="D699" s="819"/>
      <c r="E699" s="820"/>
      <c r="F699" s="13">
        <f t="shared" si="68"/>
        <v>0</v>
      </c>
    </row>
    <row r="700" spans="1:6" x14ac:dyDescent="0.3">
      <c r="A700" s="1673"/>
      <c r="B700" s="1322" t="s">
        <v>740</v>
      </c>
      <c r="C700" s="1614">
        <f>SUM(C690:C699)</f>
        <v>624000</v>
      </c>
      <c r="D700" s="1614">
        <f>SUM(D690:D699)</f>
        <v>0</v>
      </c>
      <c r="E700" s="1615">
        <f>SUM(E690:E699)</f>
        <v>624000</v>
      </c>
      <c r="F700" s="1523">
        <f t="shared" si="68"/>
        <v>1248000</v>
      </c>
    </row>
    <row r="701" spans="1:6" ht="133.9" customHeight="1" x14ac:dyDescent="0.3">
      <c r="A701" s="1669" t="s">
        <v>1143</v>
      </c>
      <c r="B701" s="1612" t="s">
        <v>1861</v>
      </c>
      <c r="C701" s="1613">
        <f>D701+E701</f>
        <v>286680</v>
      </c>
      <c r="D701" s="1613"/>
      <c r="E701" s="1613">
        <f>168000+118680</f>
        <v>286680</v>
      </c>
      <c r="F701" s="1523">
        <f t="shared" si="68"/>
        <v>573360</v>
      </c>
    </row>
    <row r="702" spans="1:6" s="13" customFormat="1" hidden="1" x14ac:dyDescent="0.3">
      <c r="A702" s="1667"/>
      <c r="B702" s="306"/>
      <c r="C702" s="466">
        <f t="shared" ref="C702:C710" si="73">SUM(D702:E702)</f>
        <v>0</v>
      </c>
      <c r="D702" s="819"/>
      <c r="E702" s="820"/>
      <c r="F702" s="13">
        <f t="shared" si="68"/>
        <v>0</v>
      </c>
    </row>
    <row r="703" spans="1:6" s="13" customFormat="1" hidden="1" x14ac:dyDescent="0.3">
      <c r="A703" s="1667"/>
      <c r="B703" s="306"/>
      <c r="C703" s="466">
        <f t="shared" si="73"/>
        <v>0</v>
      </c>
      <c r="D703" s="819"/>
      <c r="E703" s="820"/>
      <c r="F703" s="13">
        <f t="shared" si="68"/>
        <v>0</v>
      </c>
    </row>
    <row r="704" spans="1:6" s="13" customFormat="1" hidden="1" x14ac:dyDescent="0.3">
      <c r="A704" s="1667"/>
      <c r="B704" s="306"/>
      <c r="C704" s="466">
        <f t="shared" si="73"/>
        <v>0</v>
      </c>
      <c r="D704" s="819"/>
      <c r="E704" s="820"/>
      <c r="F704" s="13">
        <f t="shared" si="68"/>
        <v>0</v>
      </c>
    </row>
    <row r="705" spans="1:6" s="13" customFormat="1" hidden="1" x14ac:dyDescent="0.3">
      <c r="A705" s="1667"/>
      <c r="B705" s="306"/>
      <c r="C705" s="466">
        <f t="shared" si="73"/>
        <v>0</v>
      </c>
      <c r="D705" s="819"/>
      <c r="E705" s="820"/>
      <c r="F705" s="13">
        <f t="shared" si="68"/>
        <v>0</v>
      </c>
    </row>
    <row r="706" spans="1:6" s="13" customFormat="1" hidden="1" x14ac:dyDescent="0.3">
      <c r="A706" s="1667"/>
      <c r="B706" s="306"/>
      <c r="C706" s="466">
        <f t="shared" si="73"/>
        <v>0</v>
      </c>
      <c r="D706" s="819"/>
      <c r="E706" s="820"/>
      <c r="F706" s="13">
        <f t="shared" si="68"/>
        <v>0</v>
      </c>
    </row>
    <row r="707" spans="1:6" s="13" customFormat="1" hidden="1" x14ac:dyDescent="0.3">
      <c r="A707" s="1667"/>
      <c r="B707" s="306"/>
      <c r="C707" s="466">
        <f t="shared" si="73"/>
        <v>0</v>
      </c>
      <c r="D707" s="819"/>
      <c r="E707" s="820"/>
      <c r="F707" s="13">
        <f t="shared" si="68"/>
        <v>0</v>
      </c>
    </row>
    <row r="708" spans="1:6" s="13" customFormat="1" hidden="1" x14ac:dyDescent="0.3">
      <c r="A708" s="1667"/>
      <c r="B708" s="306"/>
      <c r="C708" s="466">
        <f t="shared" si="73"/>
        <v>0</v>
      </c>
      <c r="D708" s="819"/>
      <c r="E708" s="820"/>
      <c r="F708" s="13">
        <f t="shared" si="68"/>
        <v>0</v>
      </c>
    </row>
    <row r="709" spans="1:6" s="13" customFormat="1" hidden="1" x14ac:dyDescent="0.3">
      <c r="A709" s="1667"/>
      <c r="B709" s="306"/>
      <c r="C709" s="466">
        <f t="shared" si="73"/>
        <v>0</v>
      </c>
      <c r="D709" s="819"/>
      <c r="E709" s="820"/>
      <c r="F709" s="13">
        <f t="shared" si="68"/>
        <v>0</v>
      </c>
    </row>
    <row r="710" spans="1:6" s="13" customFormat="1" hidden="1" x14ac:dyDescent="0.3">
      <c r="A710" s="1667"/>
      <c r="B710" s="306"/>
      <c r="C710" s="466">
        <f t="shared" si="73"/>
        <v>0</v>
      </c>
      <c r="D710" s="819"/>
      <c r="E710" s="820"/>
      <c r="F710" s="13">
        <f t="shared" si="68"/>
        <v>0</v>
      </c>
    </row>
    <row r="711" spans="1:6" x14ac:dyDescent="0.3">
      <c r="A711" s="1673"/>
      <c r="B711" s="1322" t="s">
        <v>740</v>
      </c>
      <c r="C711" s="1614">
        <f>SUM(C701:C710)</f>
        <v>286680</v>
      </c>
      <c r="D711" s="1614">
        <f>SUM(D701:D710)</f>
        <v>0</v>
      </c>
      <c r="E711" s="1615">
        <f>SUM(E701:E710)</f>
        <v>286680</v>
      </c>
      <c r="F711" s="1523">
        <f t="shared" si="68"/>
        <v>573360</v>
      </c>
    </row>
    <row r="712" spans="1:6" ht="56.25" x14ac:dyDescent="0.3">
      <c r="A712" s="1669" t="s">
        <v>1145</v>
      </c>
      <c r="B712" s="1612" t="s">
        <v>1915</v>
      </c>
      <c r="C712" s="1613">
        <f>D712+E712</f>
        <v>500000</v>
      </c>
      <c r="D712" s="1613"/>
      <c r="E712" s="1613">
        <v>500000</v>
      </c>
      <c r="F712" s="1523">
        <f t="shared" si="68"/>
        <v>1000000</v>
      </c>
    </row>
    <row r="713" spans="1:6" ht="150" customHeight="1" x14ac:dyDescent="0.3">
      <c r="A713" s="1667"/>
      <c r="B713" s="1612" t="s">
        <v>2336</v>
      </c>
      <c r="C713" s="1613">
        <f>D713+E713</f>
        <v>539280</v>
      </c>
      <c r="D713" s="1613"/>
      <c r="E713" s="1613">
        <f>246000+293280</f>
        <v>539280</v>
      </c>
      <c r="F713" s="1523">
        <f t="shared" si="68"/>
        <v>1078560</v>
      </c>
    </row>
    <row r="714" spans="1:6" s="13" customFormat="1" hidden="1" x14ac:dyDescent="0.3">
      <c r="A714" s="1667"/>
      <c r="B714" s="306"/>
      <c r="C714" s="466">
        <f t="shared" ref="C714:C721" si="74">SUM(D714:E714)</f>
        <v>0</v>
      </c>
      <c r="D714" s="819"/>
      <c r="E714" s="820"/>
      <c r="F714" s="13">
        <f t="shared" ref="F714:F754" si="75">SUM(C714:E714)</f>
        <v>0</v>
      </c>
    </row>
    <row r="715" spans="1:6" s="13" customFormat="1" hidden="1" x14ac:dyDescent="0.3">
      <c r="A715" s="1667"/>
      <c r="B715" s="306"/>
      <c r="C715" s="466">
        <f t="shared" si="74"/>
        <v>0</v>
      </c>
      <c r="D715" s="819"/>
      <c r="E715" s="820"/>
      <c r="F715" s="13">
        <f t="shared" si="75"/>
        <v>0</v>
      </c>
    </row>
    <row r="716" spans="1:6" s="13" customFormat="1" hidden="1" x14ac:dyDescent="0.3">
      <c r="A716" s="1667"/>
      <c r="B716" s="306"/>
      <c r="C716" s="466">
        <f t="shared" si="74"/>
        <v>0</v>
      </c>
      <c r="D716" s="819"/>
      <c r="E716" s="820"/>
      <c r="F716" s="13">
        <f t="shared" si="75"/>
        <v>0</v>
      </c>
    </row>
    <row r="717" spans="1:6" s="13" customFormat="1" hidden="1" x14ac:dyDescent="0.3">
      <c r="A717" s="1667"/>
      <c r="B717" s="306"/>
      <c r="C717" s="466">
        <f t="shared" si="74"/>
        <v>0</v>
      </c>
      <c r="D717" s="819"/>
      <c r="E717" s="820"/>
      <c r="F717" s="13">
        <f t="shared" si="75"/>
        <v>0</v>
      </c>
    </row>
    <row r="718" spans="1:6" s="13" customFormat="1" hidden="1" x14ac:dyDescent="0.3">
      <c r="A718" s="1667"/>
      <c r="B718" s="306"/>
      <c r="C718" s="466">
        <f t="shared" si="74"/>
        <v>0</v>
      </c>
      <c r="D718" s="819"/>
      <c r="E718" s="820"/>
      <c r="F718" s="13">
        <f t="shared" si="75"/>
        <v>0</v>
      </c>
    </row>
    <row r="719" spans="1:6" s="13" customFormat="1" hidden="1" x14ac:dyDescent="0.3">
      <c r="A719" s="1667"/>
      <c r="B719" s="306"/>
      <c r="C719" s="466">
        <f t="shared" si="74"/>
        <v>0</v>
      </c>
      <c r="D719" s="819"/>
      <c r="E719" s="820"/>
      <c r="F719" s="13">
        <f t="shared" si="75"/>
        <v>0</v>
      </c>
    </row>
    <row r="720" spans="1:6" s="13" customFormat="1" hidden="1" x14ac:dyDescent="0.3">
      <c r="A720" s="1667"/>
      <c r="B720" s="306"/>
      <c r="C720" s="466">
        <f t="shared" si="74"/>
        <v>0</v>
      </c>
      <c r="D720" s="819"/>
      <c r="E720" s="820"/>
      <c r="F720" s="13">
        <f t="shared" si="75"/>
        <v>0</v>
      </c>
    </row>
    <row r="721" spans="1:6" s="13" customFormat="1" hidden="1" x14ac:dyDescent="0.3">
      <c r="A721" s="1667"/>
      <c r="B721" s="306"/>
      <c r="C721" s="466">
        <f t="shared" si="74"/>
        <v>0</v>
      </c>
      <c r="D721" s="819"/>
      <c r="E721" s="820"/>
      <c r="F721" s="13">
        <f t="shared" si="75"/>
        <v>0</v>
      </c>
    </row>
    <row r="722" spans="1:6" x14ac:dyDescent="0.3">
      <c r="A722" s="1673"/>
      <c r="B722" s="1322" t="s">
        <v>740</v>
      </c>
      <c r="C722" s="1614">
        <f>SUM(C712:C721)</f>
        <v>1039280</v>
      </c>
      <c r="D722" s="1614">
        <f>SUM(D712:D721)</f>
        <v>0</v>
      </c>
      <c r="E722" s="1615">
        <f>SUM(E712:E721)</f>
        <v>1039280</v>
      </c>
      <c r="F722" s="1523">
        <f t="shared" si="75"/>
        <v>2078560</v>
      </c>
    </row>
    <row r="723" spans="1:6" ht="75" x14ac:dyDescent="0.3">
      <c r="A723" s="1669" t="s">
        <v>1147</v>
      </c>
      <c r="B723" s="1612" t="s">
        <v>1876</v>
      </c>
      <c r="C723" s="1613">
        <f>D723+E723</f>
        <v>300000</v>
      </c>
      <c r="D723" s="1613"/>
      <c r="E723" s="1613">
        <v>300000</v>
      </c>
      <c r="F723" s="1523">
        <f t="shared" si="75"/>
        <v>600000</v>
      </c>
    </row>
    <row r="724" spans="1:6" s="13" customFormat="1" hidden="1" x14ac:dyDescent="0.3">
      <c r="A724" s="1667"/>
      <c r="B724" s="306"/>
      <c r="C724" s="466">
        <f t="shared" ref="C724:C732" si="76">SUM(D724:E724)</f>
        <v>0</v>
      </c>
      <c r="D724" s="819"/>
      <c r="E724" s="820"/>
      <c r="F724" s="13">
        <f t="shared" si="75"/>
        <v>0</v>
      </c>
    </row>
    <row r="725" spans="1:6" s="13" customFormat="1" hidden="1" x14ac:dyDescent="0.3">
      <c r="A725" s="1667"/>
      <c r="B725" s="306"/>
      <c r="C725" s="466">
        <f t="shared" si="76"/>
        <v>0</v>
      </c>
      <c r="D725" s="819"/>
      <c r="E725" s="820"/>
      <c r="F725" s="13">
        <f t="shared" si="75"/>
        <v>0</v>
      </c>
    </row>
    <row r="726" spans="1:6" s="13" customFormat="1" hidden="1" x14ac:dyDescent="0.3">
      <c r="A726" s="1667"/>
      <c r="B726" s="306"/>
      <c r="C726" s="466">
        <f t="shared" si="76"/>
        <v>0</v>
      </c>
      <c r="D726" s="819"/>
      <c r="E726" s="820"/>
      <c r="F726" s="13">
        <f t="shared" si="75"/>
        <v>0</v>
      </c>
    </row>
    <row r="727" spans="1:6" s="13" customFormat="1" hidden="1" x14ac:dyDescent="0.3">
      <c r="A727" s="1667"/>
      <c r="B727" s="306"/>
      <c r="C727" s="466">
        <f t="shared" si="76"/>
        <v>0</v>
      </c>
      <c r="D727" s="819"/>
      <c r="E727" s="820"/>
      <c r="F727" s="13">
        <f t="shared" si="75"/>
        <v>0</v>
      </c>
    </row>
    <row r="728" spans="1:6" s="13" customFormat="1" hidden="1" x14ac:dyDescent="0.3">
      <c r="A728" s="1667"/>
      <c r="B728" s="306"/>
      <c r="C728" s="466">
        <f t="shared" si="76"/>
        <v>0</v>
      </c>
      <c r="D728" s="819"/>
      <c r="E728" s="820"/>
      <c r="F728" s="13">
        <f t="shared" si="75"/>
        <v>0</v>
      </c>
    </row>
    <row r="729" spans="1:6" s="13" customFormat="1" hidden="1" x14ac:dyDescent="0.3">
      <c r="A729" s="1667"/>
      <c r="B729" s="306"/>
      <c r="C729" s="466">
        <f t="shared" si="76"/>
        <v>0</v>
      </c>
      <c r="D729" s="819"/>
      <c r="E729" s="820"/>
      <c r="F729" s="13">
        <f t="shared" si="75"/>
        <v>0</v>
      </c>
    </row>
    <row r="730" spans="1:6" s="13" customFormat="1" hidden="1" x14ac:dyDescent="0.3">
      <c r="A730" s="1667"/>
      <c r="B730" s="306"/>
      <c r="C730" s="466">
        <f t="shared" si="76"/>
        <v>0</v>
      </c>
      <c r="D730" s="819"/>
      <c r="E730" s="820"/>
      <c r="F730" s="13">
        <f t="shared" si="75"/>
        <v>0</v>
      </c>
    </row>
    <row r="731" spans="1:6" s="13" customFormat="1" hidden="1" x14ac:dyDescent="0.3">
      <c r="A731" s="1667"/>
      <c r="B731" s="306"/>
      <c r="C731" s="466">
        <f t="shared" si="76"/>
        <v>0</v>
      </c>
      <c r="D731" s="819"/>
      <c r="E731" s="820"/>
      <c r="F731" s="13">
        <f t="shared" si="75"/>
        <v>0</v>
      </c>
    </row>
    <row r="732" spans="1:6" s="13" customFormat="1" hidden="1" x14ac:dyDescent="0.3">
      <c r="A732" s="1667"/>
      <c r="B732" s="306"/>
      <c r="C732" s="466">
        <f t="shared" si="76"/>
        <v>0</v>
      </c>
      <c r="D732" s="819"/>
      <c r="E732" s="820"/>
      <c r="F732" s="13">
        <f t="shared" si="75"/>
        <v>0</v>
      </c>
    </row>
    <row r="733" spans="1:6" x14ac:dyDescent="0.3">
      <c r="A733" s="1673"/>
      <c r="B733" s="1322" t="s">
        <v>740</v>
      </c>
      <c r="C733" s="1614">
        <f>SUM(C723:C732)</f>
        <v>300000</v>
      </c>
      <c r="D733" s="1614">
        <f>SUM(D723:D732)</f>
        <v>0</v>
      </c>
      <c r="E733" s="1615">
        <f>SUM(E723:E732)</f>
        <v>300000</v>
      </c>
      <c r="F733" s="1523">
        <f t="shared" si="75"/>
        <v>600000</v>
      </c>
    </row>
    <row r="734" spans="1:6" x14ac:dyDescent="0.3">
      <c r="A734" s="1669" t="s">
        <v>1149</v>
      </c>
      <c r="B734" s="1612" t="s">
        <v>1860</v>
      </c>
      <c r="C734" s="1613">
        <f>D734+E734</f>
        <v>240000</v>
      </c>
      <c r="D734" s="1613"/>
      <c r="E734" s="1613">
        <f>72000+168000</f>
        <v>240000</v>
      </c>
      <c r="F734" s="1523">
        <f t="shared" si="75"/>
        <v>480000</v>
      </c>
    </row>
    <row r="735" spans="1:6" s="13" customFormat="1" hidden="1" x14ac:dyDescent="0.3">
      <c r="A735" s="1667"/>
      <c r="B735" s="306"/>
      <c r="C735" s="466">
        <f t="shared" ref="C735:C743" si="77">SUM(D735:E735)</f>
        <v>0</v>
      </c>
      <c r="D735" s="819"/>
      <c r="E735" s="820"/>
      <c r="F735" s="13">
        <f t="shared" si="75"/>
        <v>0</v>
      </c>
    </row>
    <row r="736" spans="1:6" s="13" customFormat="1" hidden="1" x14ac:dyDescent="0.3">
      <c r="A736" s="1667"/>
      <c r="B736" s="306"/>
      <c r="C736" s="466">
        <f t="shared" si="77"/>
        <v>0</v>
      </c>
      <c r="D736" s="819"/>
      <c r="E736" s="820"/>
      <c r="F736" s="13">
        <f t="shared" si="75"/>
        <v>0</v>
      </c>
    </row>
    <row r="737" spans="1:6" s="13" customFormat="1" hidden="1" x14ac:dyDescent="0.3">
      <c r="A737" s="1667"/>
      <c r="B737" s="306"/>
      <c r="C737" s="466">
        <f t="shared" si="77"/>
        <v>0</v>
      </c>
      <c r="D737" s="819"/>
      <c r="E737" s="820"/>
      <c r="F737" s="13">
        <f t="shared" si="75"/>
        <v>0</v>
      </c>
    </row>
    <row r="738" spans="1:6" s="13" customFormat="1" hidden="1" x14ac:dyDescent="0.3">
      <c r="A738" s="1667"/>
      <c r="B738" s="306"/>
      <c r="C738" s="466">
        <f t="shared" si="77"/>
        <v>0</v>
      </c>
      <c r="D738" s="819"/>
      <c r="E738" s="820"/>
      <c r="F738" s="13">
        <f t="shared" si="75"/>
        <v>0</v>
      </c>
    </row>
    <row r="739" spans="1:6" s="13" customFormat="1" hidden="1" x14ac:dyDescent="0.3">
      <c r="A739" s="1667"/>
      <c r="B739" s="306"/>
      <c r="C739" s="466">
        <f t="shared" si="77"/>
        <v>0</v>
      </c>
      <c r="D739" s="819"/>
      <c r="E739" s="820"/>
      <c r="F739" s="13">
        <f t="shared" si="75"/>
        <v>0</v>
      </c>
    </row>
    <row r="740" spans="1:6" s="13" customFormat="1" hidden="1" x14ac:dyDescent="0.3">
      <c r="A740" s="1667"/>
      <c r="B740" s="306"/>
      <c r="C740" s="466">
        <f t="shared" si="77"/>
        <v>0</v>
      </c>
      <c r="D740" s="819"/>
      <c r="E740" s="820"/>
      <c r="F740" s="13">
        <f t="shared" si="75"/>
        <v>0</v>
      </c>
    </row>
    <row r="741" spans="1:6" s="13" customFormat="1" hidden="1" x14ac:dyDescent="0.3">
      <c r="A741" s="1667"/>
      <c r="B741" s="306"/>
      <c r="C741" s="466">
        <f t="shared" si="77"/>
        <v>0</v>
      </c>
      <c r="D741" s="819"/>
      <c r="E741" s="820"/>
      <c r="F741" s="13">
        <f t="shared" si="75"/>
        <v>0</v>
      </c>
    </row>
    <row r="742" spans="1:6" s="13" customFormat="1" hidden="1" x14ac:dyDescent="0.3">
      <c r="A742" s="1667"/>
      <c r="B742" s="306"/>
      <c r="C742" s="466">
        <f t="shared" si="77"/>
        <v>0</v>
      </c>
      <c r="D742" s="819"/>
      <c r="E742" s="820"/>
      <c r="F742" s="13">
        <f t="shared" si="75"/>
        <v>0</v>
      </c>
    </row>
    <row r="743" spans="1:6" s="13" customFormat="1" hidden="1" x14ac:dyDescent="0.3">
      <c r="A743" s="1667"/>
      <c r="B743" s="306"/>
      <c r="C743" s="466">
        <f t="shared" si="77"/>
        <v>0</v>
      </c>
      <c r="D743" s="819"/>
      <c r="E743" s="820"/>
      <c r="F743" s="13">
        <f t="shared" si="75"/>
        <v>0</v>
      </c>
    </row>
    <row r="744" spans="1:6" ht="63.6" customHeight="1" x14ac:dyDescent="0.3">
      <c r="A744" s="1673"/>
      <c r="B744" s="1322" t="s">
        <v>740</v>
      </c>
      <c r="C744" s="1614">
        <f>SUM(C734:C743)</f>
        <v>240000</v>
      </c>
      <c r="D744" s="1614">
        <f>SUM(D734:D743)</f>
        <v>0</v>
      </c>
      <c r="E744" s="1615">
        <f>SUM(E734:E743)</f>
        <v>240000</v>
      </c>
      <c r="F744" s="1523">
        <f t="shared" si="75"/>
        <v>480000</v>
      </c>
    </row>
    <row r="745" spans="1:6" hidden="1" x14ac:dyDescent="0.3">
      <c r="A745" s="1526"/>
      <c r="B745" s="862"/>
      <c r="C745" s="1438"/>
      <c r="D745" s="1438"/>
      <c r="E745" s="892"/>
      <c r="F745" s="1523">
        <f t="shared" si="75"/>
        <v>0</v>
      </c>
    </row>
    <row r="746" spans="1:6" hidden="1" x14ac:dyDescent="0.3">
      <c r="A746" s="1526"/>
      <c r="B746" s="862"/>
      <c r="C746" s="1438"/>
      <c r="D746" s="1438"/>
      <c r="E746" s="892"/>
      <c r="F746" s="1523">
        <f t="shared" si="75"/>
        <v>0</v>
      </c>
    </row>
    <row r="747" spans="1:6" hidden="1" x14ac:dyDescent="0.3">
      <c r="A747" s="1526"/>
      <c r="B747" s="862"/>
      <c r="C747" s="1438"/>
      <c r="D747" s="1438"/>
      <c r="E747" s="892"/>
      <c r="F747" s="1523">
        <f t="shared" si="75"/>
        <v>0</v>
      </c>
    </row>
    <row r="748" spans="1:6" hidden="1" x14ac:dyDescent="0.3">
      <c r="A748" s="1526"/>
      <c r="B748" s="862"/>
      <c r="C748" s="1438"/>
      <c r="D748" s="1438"/>
      <c r="E748" s="892"/>
      <c r="F748" s="1523">
        <f t="shared" si="75"/>
        <v>0</v>
      </c>
    </row>
    <row r="749" spans="1:6" hidden="1" x14ac:dyDescent="0.3">
      <c r="A749" s="1526"/>
      <c r="B749" s="862"/>
      <c r="C749" s="1438"/>
      <c r="D749" s="1438"/>
      <c r="E749" s="892"/>
      <c r="F749" s="1523">
        <f t="shared" si="75"/>
        <v>0</v>
      </c>
    </row>
    <row r="750" spans="1:6" hidden="1" x14ac:dyDescent="0.3">
      <c r="A750" s="1526"/>
      <c r="B750" s="862"/>
      <c r="C750" s="1438"/>
      <c r="D750" s="1438"/>
      <c r="E750" s="892"/>
      <c r="F750" s="1523">
        <f t="shared" si="75"/>
        <v>0</v>
      </c>
    </row>
    <row r="751" spans="1:6" s="1547" customFormat="1" hidden="1" x14ac:dyDescent="0.3">
      <c r="A751" s="1526"/>
      <c r="B751" s="862"/>
      <c r="C751" s="1438"/>
      <c r="D751" s="1438"/>
      <c r="E751" s="892"/>
      <c r="F751" s="1523">
        <f t="shared" si="75"/>
        <v>0</v>
      </c>
    </row>
    <row r="752" spans="1:6" hidden="1" x14ac:dyDescent="0.3">
      <c r="A752" s="1526"/>
      <c r="B752" s="862"/>
      <c r="C752" s="1438"/>
      <c r="D752" s="1438"/>
      <c r="E752" s="892"/>
      <c r="F752" s="1523">
        <f t="shared" si="75"/>
        <v>0</v>
      </c>
    </row>
    <row r="753" spans="1:6" hidden="1" x14ac:dyDescent="0.3">
      <c r="A753" s="1526"/>
      <c r="B753" s="862"/>
      <c r="C753" s="1438"/>
      <c r="D753" s="1438"/>
      <c r="E753" s="892"/>
      <c r="F753" s="1523">
        <f t="shared" si="75"/>
        <v>0</v>
      </c>
    </row>
    <row r="754" spans="1:6" x14ac:dyDescent="0.3">
      <c r="A754" s="846"/>
      <c r="B754" s="1067" t="s">
        <v>1210</v>
      </c>
      <c r="C754" s="1454">
        <f>C31+C42+C53+C64+C75+C86+C97+C108+C119+C130+C141+C152+C163+C174+C185+C196+C207+C218+C229+C240+C251+C262+C273+C284+C295+C305+C316+C327+C338+C349+C360+C371+C382+C393+C404+C415+C426+C437+C448+C459+C470+C481+C492+C503+C514+C525+C536+C546+C557+C569+C580+C591+C602+C613+C624+C635+C646+C657+C668+C678+C689+C700+C711+C722+C733+C744+C20</f>
        <v>25127804</v>
      </c>
      <c r="D754" s="1454">
        <f>D31+D42+D53+D64+D75+D86+D97+D108+D119+D130+D141+D152+D163+D174+D185+D196+D207+D218+D229+D240+D251+D262+D273+D284+D295+D305+D316+D327+D338+D349+D360+D371+D382+D393+D404+D415+D426+D437+D448+D459+D470+D481+D492+D503+D514+D525+D536+D546+D557+D569+D580+D591+D602+D613+D624+D635+D646+D657+D668+D678+D689+D700+D711+D722+D733+D744+D20</f>
        <v>1028690</v>
      </c>
      <c r="E754" s="892">
        <f>E31+E42+E53+E64+E75+E86+E97+E108+E119+E130+E141+E152+E163+E174+E185+E196+E207+E218+E229+E240+E251+E262+E273+E284+E295+E305+E316+E327+E338+E349+E360+E371+E382+E393+E404+E415+E426+E437+E448+E459+E470+E481+E492+E503+E514+E525+E536+E546+E557+E569+E580+E591+E602+E613+E624+E635+E646+E657+E668+E678+E689+E700+E711+E722+E733+E744+E20</f>
        <v>24099114</v>
      </c>
      <c r="F754" s="1523">
        <f t="shared" si="75"/>
        <v>50255608</v>
      </c>
    </row>
    <row r="755" spans="1:6" x14ac:dyDescent="0.3">
      <c r="A755" s="1531"/>
      <c r="B755" s="1602"/>
      <c r="C755" s="1533"/>
      <c r="D755" s="1533"/>
      <c r="E755" s="1620"/>
      <c r="F755" s="1534">
        <v>1</v>
      </c>
    </row>
    <row r="756" spans="1:6" x14ac:dyDescent="0.3">
      <c r="A756" s="1509" t="s">
        <v>174</v>
      </c>
      <c r="B756" s="1538"/>
      <c r="C756" s="1536"/>
      <c r="D756" s="1538" t="s">
        <v>1171</v>
      </c>
      <c r="F756" s="1534">
        <v>1</v>
      </c>
    </row>
    <row r="757" spans="1:6" hidden="1" x14ac:dyDescent="0.3">
      <c r="A757" s="1531"/>
      <c r="B757" s="1602"/>
      <c r="C757" s="1533"/>
      <c r="D757" s="1533"/>
      <c r="E757" s="1620"/>
      <c r="F757" s="1534">
        <v>1</v>
      </c>
    </row>
    <row r="758" spans="1:6" hidden="1" x14ac:dyDescent="0.3">
      <c r="A758" s="1531"/>
      <c r="B758" s="1602"/>
      <c r="C758" s="1533"/>
      <c r="D758" s="1533"/>
      <c r="E758" s="1620"/>
      <c r="F758" s="1534">
        <v>1</v>
      </c>
    </row>
    <row r="759" spans="1:6" hidden="1" x14ac:dyDescent="0.3">
      <c r="F759" s="1534">
        <v>1</v>
      </c>
    </row>
    <row r="760" spans="1:6" hidden="1" x14ac:dyDescent="0.3">
      <c r="A760" s="1531"/>
      <c r="B760" s="1602"/>
      <c r="C760" s="1533"/>
      <c r="D760" s="1533"/>
      <c r="E760" s="1620"/>
      <c r="F760" s="1534">
        <f>SUM(C760:E760)</f>
        <v>0</v>
      </c>
    </row>
    <row r="761" spans="1:6" s="13" customFormat="1" hidden="1" x14ac:dyDescent="0.3">
      <c r="A761" s="159"/>
      <c r="B761" s="236"/>
      <c r="C761" s="235">
        <f>дод1!C161-' дод1.3'!C754</f>
        <v>0</v>
      </c>
      <c r="D761" s="235">
        <f>дод1!D161-' дод1.3'!D754</f>
        <v>0</v>
      </c>
      <c r="E761" s="155">
        <f>дод1!E161-' дод1.3'!E754</f>
        <v>0</v>
      </c>
      <c r="F761" s="139">
        <v>1</v>
      </c>
    </row>
    <row r="762" spans="1:6" hidden="1" x14ac:dyDescent="0.3">
      <c r="A762" s="1543"/>
      <c r="B762" s="1621"/>
      <c r="C762" s="1545"/>
      <c r="D762" s="1545"/>
      <c r="E762" s="1546"/>
      <c r="F762" s="1534">
        <v>1</v>
      </c>
    </row>
    <row r="763" spans="1:6" hidden="1" x14ac:dyDescent="0.3">
      <c r="C763" s="1542"/>
      <c r="D763" s="1542"/>
      <c r="E763" s="1548"/>
      <c r="F763" s="1534">
        <v>1</v>
      </c>
    </row>
    <row r="764" spans="1:6" hidden="1" x14ac:dyDescent="0.3">
      <c r="A764" s="1523"/>
      <c r="B764" s="1523"/>
      <c r="F764" s="1523">
        <v>1</v>
      </c>
    </row>
    <row r="765" spans="1:6" hidden="1" x14ac:dyDescent="0.3">
      <c r="F765" s="1523">
        <v>1</v>
      </c>
    </row>
    <row r="766" spans="1:6" hidden="1" x14ac:dyDescent="0.3">
      <c r="B766" s="1541" t="s">
        <v>63</v>
      </c>
      <c r="C766" s="1542">
        <f>дод1!C161</f>
        <v>25127804</v>
      </c>
      <c r="D766" s="1542">
        <f>дод1!D161</f>
        <v>1028690</v>
      </c>
      <c r="E766" s="1548">
        <f>дод1!E161</f>
        <v>24099114</v>
      </c>
      <c r="F766" s="1523">
        <v>11</v>
      </c>
    </row>
    <row r="767" spans="1:6" s="13" customFormat="1" hidden="1" x14ac:dyDescent="0.3">
      <c r="A767" s="282"/>
      <c r="B767" s="283" t="s">
        <v>678</v>
      </c>
      <c r="C767" s="284">
        <f>C766-C754</f>
        <v>0</v>
      </c>
      <c r="D767" s="284" t="b">
        <f>D766=D754</f>
        <v>1</v>
      </c>
      <c r="E767" s="1594">
        <f>E766-E754</f>
        <v>0</v>
      </c>
      <c r="F767" s="228">
        <v>1</v>
      </c>
    </row>
    <row r="768" spans="1:6" hidden="1" x14ac:dyDescent="0.3">
      <c r="F768" s="1523">
        <v>1</v>
      </c>
    </row>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802" ht="16.149999999999999" customHeight="1" x14ac:dyDescent="0.3"/>
    <row r="803" ht="18.600000000000001" customHeight="1" x14ac:dyDescent="0.3"/>
  </sheetData>
  <autoFilter ref="A1:F814">
    <filterColumn colId="2">
      <filters blank="1">
        <filter val="1 039 280,00"/>
        <filter val="1 058 000,00"/>
        <filter val="1 207 610,00"/>
        <filter val="1 218 000,00"/>
        <filter val="1 235 940,00"/>
        <filter val="1 336 000,00"/>
        <filter val="1 358 000,00"/>
        <filter val="1 968 000,00"/>
        <filter val="10 000,00"/>
        <filter val="100 000,00"/>
        <filter val="108 000,00"/>
        <filter val="11 909,00"/>
        <filter val="116 954,00"/>
        <filter val="118 128,00"/>
        <filter val="12 000,00"/>
        <filter val="13 400,00"/>
        <filter val="132 000,00"/>
        <filter val="140 000,00"/>
        <filter val="144 000,00"/>
        <filter val="146 290,00"/>
        <filter val="153 710,00"/>
        <filter val="16 000,00"/>
        <filter val="166 750,00"/>
        <filter val="178 632,00"/>
        <filter val="179 760,00"/>
        <filter val="190 032,00"/>
        <filter val="192 000,00"/>
        <filter val="2 000 000,00"/>
        <filter val="203 370,00"/>
        <filter val="210 000,00"/>
        <filter val="24 000,00"/>
        <filter val="240 000,00"/>
        <filter val="246 000,00"/>
        <filter val="25 000,00"/>
        <filter val="25 127 804"/>
        <filter val="25 127 804,00"/>
        <filter val="270 000,00"/>
        <filter val="276 000,00"/>
        <filter val="286 680,00"/>
        <filter val="29 772,00"/>
        <filter val="292 000,00"/>
        <filter val="3"/>
        <filter val="30 000,00"/>
        <filter val="300 000,00"/>
        <filter val="303 675,00"/>
        <filter val="309 000,00"/>
        <filter val="360 000,00"/>
        <filter val="408 000,00"/>
        <filter val="41 681,00"/>
        <filter val="42 000,00"/>
        <filter val="424 000,00"/>
        <filter val="48 000,00"/>
        <filter val="489 000,00"/>
        <filter val="49 900,00"/>
        <filter val="492 000,00"/>
        <filter val="50 000,00"/>
        <filter val="500 000,00"/>
        <filter val="528 000,00"/>
        <filter val="539 280,00"/>
        <filter val="539 700,00"/>
        <filter val="540 000,00"/>
        <filter val="557 610,00"/>
        <filter val="582 000,00"/>
        <filter val="59 544,00"/>
        <filter val="599 700,00"/>
        <filter val="60 000,00"/>
        <filter val="612 000,00"/>
        <filter val="62 000,00"/>
        <filter val="624 000,00"/>
        <filter val="635 300,00"/>
        <filter val="650 000,00"/>
        <filter val="66 000,00"/>
        <filter val="700 000,00"/>
        <filter val="72 000,00"/>
        <filter val="743 940,00"/>
        <filter val="745 271,00"/>
        <filter val="78 000,00"/>
        <filter val="816 000,00"/>
        <filter val="83 200,00"/>
        <filter val="833 616,00"/>
        <filter val="84 000,00"/>
        <filter val="896 000,00"/>
        <filter val="95 271,00"/>
        <filter val="95 370,00"/>
        <filter val="959 000,00"/>
        <filter val="96 000,00"/>
        <filter val="981 000,00"/>
        <filter val="Усього"/>
      </filters>
    </filterColumn>
  </autoFilter>
  <mergeCells count="68">
    <mergeCell ref="A658:A668"/>
    <mergeCell ref="A734:A744"/>
    <mergeCell ref="A669:A678"/>
    <mergeCell ref="A679:A689"/>
    <mergeCell ref="A690:A700"/>
    <mergeCell ref="A701:A711"/>
    <mergeCell ref="A712:A722"/>
    <mergeCell ref="A723:A733"/>
    <mergeCell ref="A592:A602"/>
    <mergeCell ref="A603:A613"/>
    <mergeCell ref="A614:A624"/>
    <mergeCell ref="A625:A635"/>
    <mergeCell ref="A636:A646"/>
    <mergeCell ref="A647:A657"/>
    <mergeCell ref="A526:A536"/>
    <mergeCell ref="A537:A546"/>
    <mergeCell ref="A547:A557"/>
    <mergeCell ref="A558:A569"/>
    <mergeCell ref="A570:A580"/>
    <mergeCell ref="A581:A591"/>
    <mergeCell ref="A460:A470"/>
    <mergeCell ref="A471:A481"/>
    <mergeCell ref="A482:A492"/>
    <mergeCell ref="A493:A503"/>
    <mergeCell ref="A504:A514"/>
    <mergeCell ref="A515:A525"/>
    <mergeCell ref="A394:A404"/>
    <mergeCell ref="A405:A415"/>
    <mergeCell ref="A416:A426"/>
    <mergeCell ref="A427:A437"/>
    <mergeCell ref="A438:A448"/>
    <mergeCell ref="A449:A459"/>
    <mergeCell ref="A328:A338"/>
    <mergeCell ref="A339:A349"/>
    <mergeCell ref="A350:A360"/>
    <mergeCell ref="A361:A371"/>
    <mergeCell ref="A372:A382"/>
    <mergeCell ref="A383:A393"/>
    <mergeCell ref="A263:A273"/>
    <mergeCell ref="A274:A284"/>
    <mergeCell ref="A285:A295"/>
    <mergeCell ref="A296:A305"/>
    <mergeCell ref="A306:A316"/>
    <mergeCell ref="A317:A327"/>
    <mergeCell ref="A197:A207"/>
    <mergeCell ref="A208:A218"/>
    <mergeCell ref="A219:A229"/>
    <mergeCell ref="A230:A240"/>
    <mergeCell ref="A241:A251"/>
    <mergeCell ref="A252:A262"/>
    <mergeCell ref="A131:A141"/>
    <mergeCell ref="A142:A152"/>
    <mergeCell ref="A153:A163"/>
    <mergeCell ref="A164:A174"/>
    <mergeCell ref="A175:A185"/>
    <mergeCell ref="A186:A196"/>
    <mergeCell ref="A65:A75"/>
    <mergeCell ref="A76:A86"/>
    <mergeCell ref="A87:A97"/>
    <mergeCell ref="A98:A108"/>
    <mergeCell ref="A109:A119"/>
    <mergeCell ref="A120:A130"/>
    <mergeCell ref="A10:A20"/>
    <mergeCell ref="A4:E4"/>
    <mergeCell ref="A21:A31"/>
    <mergeCell ref="A32:A42"/>
    <mergeCell ref="A43:A53"/>
    <mergeCell ref="A54:A64"/>
  </mergeCells>
  <printOptions horizontalCentered="1"/>
  <pageMargins left="0.39370078740157483" right="0" top="7.874015748031496E-2" bottom="0" header="0" footer="0"/>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C00000"/>
  </sheetPr>
  <dimension ref="A1:O120"/>
  <sheetViews>
    <sheetView view="pageBreakPreview" zoomScale="75" zoomScaleNormal="75" zoomScaleSheetLayoutView="75" workbookViewId="0">
      <selection activeCell="A38" sqref="A38:IV120"/>
    </sheetView>
  </sheetViews>
  <sheetFormatPr defaultRowHeight="12.75" x14ac:dyDescent="0.2"/>
  <cols>
    <col min="1" max="1" width="10.42578125" customWidth="1"/>
    <col min="2" max="2" width="86" customWidth="1"/>
    <col min="3" max="3" width="21" customWidth="1"/>
    <col min="4" max="4" width="25" customWidth="1"/>
    <col min="5" max="5" width="21.7109375" customWidth="1"/>
    <col min="6" max="6" width="21.28515625" customWidth="1"/>
    <col min="7" max="7" width="0.42578125" hidden="1" customWidth="1"/>
    <col min="8" max="8" width="30.42578125" hidden="1" customWidth="1"/>
    <col min="9" max="9" width="15.7109375" hidden="1" customWidth="1"/>
    <col min="10" max="10" width="15" hidden="1" customWidth="1"/>
    <col min="11" max="15" width="0" hidden="1" customWidth="1"/>
  </cols>
  <sheetData>
    <row r="1" spans="1:8" ht="18.75" x14ac:dyDescent="0.3">
      <c r="A1" s="9"/>
      <c r="B1" s="25"/>
      <c r="C1" s="25"/>
      <c r="E1" s="25" t="s">
        <v>239</v>
      </c>
    </row>
    <row r="2" spans="1:8" ht="18.75" x14ac:dyDescent="0.3">
      <c r="B2" s="32"/>
      <c r="C2" s="32"/>
      <c r="E2" s="25" t="s">
        <v>274</v>
      </c>
    </row>
    <row r="3" spans="1:8" ht="18.75" x14ac:dyDescent="0.3">
      <c r="A3" s="9"/>
      <c r="B3" s="25"/>
      <c r="C3" s="25"/>
      <c r="E3" s="502" t="s">
        <v>1417</v>
      </c>
      <c r="F3" s="503"/>
      <c r="G3" s="25"/>
      <c r="H3" s="25"/>
    </row>
    <row r="4" spans="1:8" ht="9.6" customHeight="1" x14ac:dyDescent="0.25">
      <c r="A4" s="9"/>
      <c r="B4" s="19"/>
      <c r="C4" s="19"/>
      <c r="D4" s="9"/>
    </row>
    <row r="5" spans="1:8" ht="20.45" customHeight="1" x14ac:dyDescent="0.3">
      <c r="A5" s="1681" t="s">
        <v>1050</v>
      </c>
      <c r="B5" s="1681"/>
      <c r="C5" s="1681"/>
      <c r="D5" s="1681"/>
      <c r="E5" s="1681"/>
      <c r="F5" s="1681"/>
      <c r="G5" s="1681"/>
    </row>
    <row r="6" spans="1:8" s="302" customFormat="1" ht="18" customHeight="1" x14ac:dyDescent="0.35">
      <c r="A6" s="557"/>
      <c r="B6" s="558" t="s">
        <v>857</v>
      </c>
      <c r="C6" s="557"/>
      <c r="D6" s="557"/>
      <c r="E6" s="557"/>
      <c r="F6" s="557"/>
      <c r="G6" s="557"/>
    </row>
    <row r="7" spans="1:8" s="302" customFormat="1" ht="15" customHeight="1" x14ac:dyDescent="0.35">
      <c r="A7" s="557"/>
      <c r="B7" s="559" t="s">
        <v>856</v>
      </c>
      <c r="C7" s="557"/>
      <c r="D7" s="557"/>
      <c r="E7" s="557"/>
      <c r="F7" s="557"/>
      <c r="G7" s="557"/>
    </row>
    <row r="8" spans="1:8" ht="11.45" customHeight="1" x14ac:dyDescent="0.25">
      <c r="A8" s="20"/>
      <c r="B8" s="20"/>
      <c r="C8" s="20"/>
      <c r="F8" s="96" t="s">
        <v>737</v>
      </c>
    </row>
    <row r="9" spans="1:8" s="302" customFormat="1" ht="21.75" customHeight="1" x14ac:dyDescent="0.2">
      <c r="A9" s="1682" t="s">
        <v>124</v>
      </c>
      <c r="B9" s="1682" t="s">
        <v>743</v>
      </c>
      <c r="C9" s="1686" t="s">
        <v>739</v>
      </c>
      <c r="D9" s="1684" t="s">
        <v>53</v>
      </c>
      <c r="E9" s="1679" t="s">
        <v>54</v>
      </c>
      <c r="F9" s="1680"/>
      <c r="H9" s="340"/>
    </row>
    <row r="10" spans="1:8" s="302" customFormat="1" ht="37.5" customHeight="1" x14ac:dyDescent="0.35">
      <c r="A10" s="1683"/>
      <c r="B10" s="1683"/>
      <c r="C10" s="1687"/>
      <c r="D10" s="1685"/>
      <c r="E10" s="358" t="s">
        <v>744</v>
      </c>
      <c r="F10" s="359" t="s">
        <v>751</v>
      </c>
      <c r="H10" s="141"/>
    </row>
    <row r="11" spans="1:8" ht="23.25" x14ac:dyDescent="0.35">
      <c r="A11" s="326">
        <v>1</v>
      </c>
      <c r="B11" s="326">
        <v>2</v>
      </c>
      <c r="C11" s="326">
        <v>3</v>
      </c>
      <c r="D11" s="326">
        <v>4</v>
      </c>
      <c r="E11" s="327">
        <v>5</v>
      </c>
      <c r="F11" s="327">
        <v>6</v>
      </c>
      <c r="H11" s="141"/>
    </row>
    <row r="12" spans="1:8" ht="23.25" x14ac:dyDescent="0.35">
      <c r="A12" s="88" t="s">
        <v>745</v>
      </c>
      <c r="B12" s="330"/>
      <c r="C12" s="330"/>
      <c r="D12" s="330"/>
      <c r="E12" s="331"/>
      <c r="F12" s="332"/>
      <c r="H12" s="141"/>
    </row>
    <row r="13" spans="1:8" ht="22.5" x14ac:dyDescent="0.3">
      <c r="A13" s="328">
        <v>200000</v>
      </c>
      <c r="B13" s="329" t="s">
        <v>275</v>
      </c>
      <c r="C13" s="898">
        <f>C21+C18+C14</f>
        <v>261596911.22000003</v>
      </c>
      <c r="D13" s="898">
        <f>D21+D18+D14</f>
        <v>-127837223</v>
      </c>
      <c r="E13" s="898">
        <f>E21+E18+E14</f>
        <v>389434134.22000003</v>
      </c>
      <c r="F13" s="898">
        <f>F21+F18+F14</f>
        <v>274010091.17000002</v>
      </c>
      <c r="H13" s="140"/>
    </row>
    <row r="14" spans="1:8" ht="22.5" x14ac:dyDescent="0.3">
      <c r="A14" s="328">
        <v>203000</v>
      </c>
      <c r="B14" s="59" t="s">
        <v>988</v>
      </c>
      <c r="C14" s="898">
        <f>C15</f>
        <v>0</v>
      </c>
      <c r="D14" s="898">
        <f>D15</f>
        <v>0</v>
      </c>
      <c r="E14" s="898">
        <f>E15</f>
        <v>0</v>
      </c>
      <c r="F14" s="898">
        <f>F15</f>
        <v>0</v>
      </c>
      <c r="H14" s="140"/>
    </row>
    <row r="15" spans="1:8" ht="35.25" x14ac:dyDescent="0.3">
      <c r="A15" s="58" t="s">
        <v>989</v>
      </c>
      <c r="B15" s="59" t="s">
        <v>990</v>
      </c>
      <c r="C15" s="72">
        <f>SUM(C16:C17)</f>
        <v>0</v>
      </c>
      <c r="D15" s="894">
        <f>SUM(D16:D17)</f>
        <v>0</v>
      </c>
      <c r="E15" s="894">
        <f>SUM(E16:E17)</f>
        <v>0</v>
      </c>
      <c r="F15" s="895">
        <f>SUM(F16:F17)</f>
        <v>0</v>
      </c>
    </row>
    <row r="16" spans="1:8" s="302" customFormat="1" ht="23.25" x14ac:dyDescent="0.35">
      <c r="A16" s="595" t="s">
        <v>991</v>
      </c>
      <c r="B16" s="596" t="s">
        <v>992</v>
      </c>
      <c r="C16" s="899">
        <f>D16</f>
        <v>39683713</v>
      </c>
      <c r="D16" s="899">
        <f>39506213+177500</f>
        <v>39683713</v>
      </c>
      <c r="E16" s="899"/>
      <c r="F16" s="899"/>
      <c r="H16" s="141"/>
    </row>
    <row r="17" spans="1:10" s="302" customFormat="1" ht="23.25" x14ac:dyDescent="0.35">
      <c r="A17" s="595" t="s">
        <v>993</v>
      </c>
      <c r="B17" s="596" t="s">
        <v>994</v>
      </c>
      <c r="C17" s="899">
        <f>D17</f>
        <v>-39683713</v>
      </c>
      <c r="D17" s="899">
        <f>-39506213-177500</f>
        <v>-39683713</v>
      </c>
      <c r="E17" s="899"/>
      <c r="F17" s="899"/>
      <c r="H17" s="141"/>
    </row>
    <row r="18" spans="1:10" ht="39" x14ac:dyDescent="0.3">
      <c r="A18" s="58">
        <v>206000</v>
      </c>
      <c r="B18" s="59" t="s">
        <v>245</v>
      </c>
      <c r="C18" s="894">
        <f>SUM(C19:C20)</f>
        <v>0</v>
      </c>
      <c r="D18" s="894">
        <f>SUM(D19:D20)</f>
        <v>0</v>
      </c>
      <c r="E18" s="894">
        <f>SUM(E19:E20)</f>
        <v>0</v>
      </c>
      <c r="F18" s="894">
        <f>SUM(F19:F20)</f>
        <v>0</v>
      </c>
      <c r="H18" s="140"/>
    </row>
    <row r="19" spans="1:10" ht="22.5" x14ac:dyDescent="0.3">
      <c r="A19" s="60">
        <v>206110</v>
      </c>
      <c r="B19" s="61" t="s">
        <v>250</v>
      </c>
      <c r="C19" s="896">
        <f>D19+E19</f>
        <v>500000000</v>
      </c>
      <c r="D19" s="896">
        <v>400000000</v>
      </c>
      <c r="E19" s="896">
        <v>100000000</v>
      </c>
      <c r="F19" s="897">
        <v>60000</v>
      </c>
      <c r="H19" s="143"/>
    </row>
    <row r="20" spans="1:10" ht="18.75" x14ac:dyDescent="0.3">
      <c r="A20" s="60">
        <v>206210</v>
      </c>
      <c r="B20" s="61" t="s">
        <v>190</v>
      </c>
      <c r="C20" s="896">
        <f>D20+E20</f>
        <v>-500000000</v>
      </c>
      <c r="D20" s="896">
        <v>-400000000</v>
      </c>
      <c r="E20" s="896">
        <v>-100000000</v>
      </c>
      <c r="F20" s="897">
        <v>-60000</v>
      </c>
      <c r="H20" s="142"/>
    </row>
    <row r="21" spans="1:10" ht="19.5" x14ac:dyDescent="0.3">
      <c r="A21" s="58">
        <v>208000</v>
      </c>
      <c r="B21" s="59" t="s">
        <v>49</v>
      </c>
      <c r="C21" s="72">
        <f>C22-C23+C24</f>
        <v>261596911.22000003</v>
      </c>
      <c r="D21" s="894">
        <f>+D22-D23+D24</f>
        <v>-127837223</v>
      </c>
      <c r="E21" s="894">
        <f>+E22-E23+E24</f>
        <v>389434134.22000003</v>
      </c>
      <c r="F21" s="895">
        <f>+F22-F23+F24</f>
        <v>274010091.17000002</v>
      </c>
    </row>
    <row r="22" spans="1:10" ht="18.75" x14ac:dyDescent="0.3">
      <c r="A22" s="60">
        <v>208100</v>
      </c>
      <c r="B22" s="61" t="s">
        <v>204</v>
      </c>
      <c r="C22" s="896">
        <f>D22+E22</f>
        <v>286048565.78000003</v>
      </c>
      <c r="D22" s="896">
        <v>158885351.86000001</v>
      </c>
      <c r="E22" s="896">
        <v>127163213.92</v>
      </c>
      <c r="F22" s="896">
        <f>58939.54+9679683.64</f>
        <v>9738623.1799999997</v>
      </c>
      <c r="H22" s="68">
        <f>D22-D23</f>
        <v>137142929.69</v>
      </c>
      <c r="I22" s="68">
        <f>E22-E23</f>
        <v>124453981.53</v>
      </c>
      <c r="J22" s="68">
        <f>F22-F23</f>
        <v>9029938.4800000004</v>
      </c>
    </row>
    <row r="23" spans="1:10" ht="18.75" x14ac:dyDescent="0.3">
      <c r="A23" s="60">
        <v>208200</v>
      </c>
      <c r="B23" s="61" t="s">
        <v>205</v>
      </c>
      <c r="C23" s="896">
        <f t="shared" ref="C23:C35" si="0">D23+E23</f>
        <v>24451654.560000017</v>
      </c>
      <c r="D23" s="896">
        <f>158885351.86-3825689-119290932.69-3201600-1125220-8346930-1352558</f>
        <v>21742422.170000017</v>
      </c>
      <c r="E23" s="896">
        <f>127163213.92-124403881.53-50100</f>
        <v>2709232.3900000006</v>
      </c>
      <c r="F23" s="896">
        <f>58939.54+(9679683.64-8979838.48)-50100</f>
        <v>708684.70000000019</v>
      </c>
    </row>
    <row r="24" spans="1:10" ht="37.5" x14ac:dyDescent="0.3">
      <c r="A24" s="60">
        <v>208400</v>
      </c>
      <c r="B24" s="61" t="s">
        <v>203</v>
      </c>
      <c r="C24" s="896">
        <f t="shared" si="0"/>
        <v>0</v>
      </c>
      <c r="D24" s="896">
        <f>-14132200-23604040-3825689-49319139-20056334-3299019.69-51902-32662900-7355000-21294000-1625311-463800-40158122-12857608-27148022-6787066-340000</f>
        <v>-264980152.69</v>
      </c>
      <c r="E24" s="896">
        <f>14132200+23604040+3825689+49319139+20056334+3299019.69+51902+32662900+7355000+21294000+1625311+463800+40158122+12857608+27148022+6787066+340000</f>
        <v>264980152.69</v>
      </c>
      <c r="F24" s="896">
        <f>14132200+23604040+3825689+49319139+20056334+3299019.69+51902+32662900+7355000+21294000+1625311+463800+40158122+1352558+8000000+3201600+27148022+6787066+303450+340000</f>
        <v>264980152.69</v>
      </c>
      <c r="H24" s="68"/>
    </row>
    <row r="25" spans="1:10" ht="18.75" x14ac:dyDescent="0.3">
      <c r="A25" s="60" t="s">
        <v>746</v>
      </c>
      <c r="B25" s="62" t="s">
        <v>748</v>
      </c>
      <c r="C25" s="72">
        <f t="shared" si="0"/>
        <v>261596911.22000003</v>
      </c>
      <c r="D25" s="72">
        <f>D13</f>
        <v>-127837223</v>
      </c>
      <c r="E25" s="72">
        <f>E27</f>
        <v>389434134.22000003</v>
      </c>
      <c r="F25" s="72">
        <f>F27</f>
        <v>274010091.17000002</v>
      </c>
      <c r="I25">
        <f>76436354+26396400-180000-63560040</f>
        <v>39092714</v>
      </c>
    </row>
    <row r="26" spans="1:10" ht="18.75" x14ac:dyDescent="0.3">
      <c r="A26" s="88" t="s">
        <v>747</v>
      </c>
      <c r="B26" s="330"/>
      <c r="C26" s="900"/>
      <c r="D26" s="900"/>
      <c r="E26" s="901"/>
      <c r="F26" s="902"/>
    </row>
    <row r="27" spans="1:10" ht="18.75" x14ac:dyDescent="0.3">
      <c r="A27" s="63">
        <v>600000</v>
      </c>
      <c r="B27" s="57" t="s">
        <v>201</v>
      </c>
      <c r="C27" s="72">
        <f>D27+E27</f>
        <v>261596911.22000003</v>
      </c>
      <c r="D27" s="72">
        <f>+D31</f>
        <v>-127837223</v>
      </c>
      <c r="E27" s="72">
        <f>+E31</f>
        <v>389434134.22000003</v>
      </c>
      <c r="F27" s="72">
        <f>+F31</f>
        <v>274010091.17000002</v>
      </c>
    </row>
    <row r="28" spans="1:10" ht="39" x14ac:dyDescent="0.3">
      <c r="A28" s="58">
        <v>601000</v>
      </c>
      <c r="B28" s="59" t="s">
        <v>245</v>
      </c>
      <c r="C28" s="896">
        <f t="shared" si="0"/>
        <v>0</v>
      </c>
      <c r="D28" s="894">
        <f>D30+D29</f>
        <v>0</v>
      </c>
      <c r="E28" s="894">
        <f>E30+E29</f>
        <v>0</v>
      </c>
      <c r="F28" s="894">
        <f>F30+F29</f>
        <v>0</v>
      </c>
    </row>
    <row r="29" spans="1:10" ht="18.75" x14ac:dyDescent="0.3">
      <c r="A29" s="60">
        <v>601110</v>
      </c>
      <c r="B29" s="61" t="s">
        <v>250</v>
      </c>
      <c r="C29" s="896">
        <f t="shared" si="0"/>
        <v>500000000</v>
      </c>
      <c r="D29" s="896">
        <f t="shared" ref="D29:F30" si="1">D19</f>
        <v>400000000</v>
      </c>
      <c r="E29" s="896">
        <f t="shared" si="1"/>
        <v>100000000</v>
      </c>
      <c r="F29" s="896">
        <f t="shared" si="1"/>
        <v>60000</v>
      </c>
    </row>
    <row r="30" spans="1:10" ht="18.75" x14ac:dyDescent="0.3">
      <c r="A30" s="60">
        <v>601210</v>
      </c>
      <c r="B30" s="61" t="s">
        <v>190</v>
      </c>
      <c r="C30" s="896">
        <f t="shared" si="0"/>
        <v>-500000000</v>
      </c>
      <c r="D30" s="896">
        <f t="shared" si="1"/>
        <v>-400000000</v>
      </c>
      <c r="E30" s="896">
        <f t="shared" si="1"/>
        <v>-100000000</v>
      </c>
      <c r="F30" s="896">
        <f t="shared" si="1"/>
        <v>-60000</v>
      </c>
    </row>
    <row r="31" spans="1:10" ht="19.5" x14ac:dyDescent="0.3">
      <c r="A31" s="58">
        <v>602000</v>
      </c>
      <c r="B31" s="59" t="s">
        <v>42</v>
      </c>
      <c r="C31" s="72">
        <f t="shared" si="0"/>
        <v>261596911.22000003</v>
      </c>
      <c r="D31" s="894">
        <f>+D32-D33+D34</f>
        <v>-127837223</v>
      </c>
      <c r="E31" s="894">
        <f>+E32-E33+E34</f>
        <v>389434134.22000003</v>
      </c>
      <c r="F31" s="894">
        <f>+F32-F33+F34</f>
        <v>274010091.17000002</v>
      </c>
    </row>
    <row r="32" spans="1:10" ht="18.75" x14ac:dyDescent="0.3">
      <c r="A32" s="60">
        <v>602100</v>
      </c>
      <c r="B32" s="61" t="s">
        <v>204</v>
      </c>
      <c r="C32" s="896">
        <f t="shared" si="0"/>
        <v>286048565.78000003</v>
      </c>
      <c r="D32" s="896">
        <f t="shared" ref="D32:F33" si="2">+D22</f>
        <v>158885351.86000001</v>
      </c>
      <c r="E32" s="896">
        <f t="shared" si="2"/>
        <v>127163213.92</v>
      </c>
      <c r="F32" s="896">
        <f t="shared" si="2"/>
        <v>9738623.1799999997</v>
      </c>
    </row>
    <row r="33" spans="1:15" ht="18.75" x14ac:dyDescent="0.3">
      <c r="A33" s="60">
        <v>602200</v>
      </c>
      <c r="B33" s="61" t="s">
        <v>205</v>
      </c>
      <c r="C33" s="896">
        <f t="shared" si="0"/>
        <v>24451654.560000017</v>
      </c>
      <c r="D33" s="896">
        <f t="shared" si="2"/>
        <v>21742422.170000017</v>
      </c>
      <c r="E33" s="896">
        <f t="shared" si="2"/>
        <v>2709232.3900000006</v>
      </c>
      <c r="F33" s="896">
        <f t="shared" si="2"/>
        <v>708684.70000000019</v>
      </c>
    </row>
    <row r="34" spans="1:15" ht="37.5" customHeight="1" x14ac:dyDescent="0.3">
      <c r="A34" s="60">
        <v>602400</v>
      </c>
      <c r="B34" s="61" t="s">
        <v>203</v>
      </c>
      <c r="C34" s="896">
        <f t="shared" si="0"/>
        <v>0</v>
      </c>
      <c r="D34" s="896">
        <f>D24</f>
        <v>-264980152.69</v>
      </c>
      <c r="E34" s="896">
        <f>E24</f>
        <v>264980152.69</v>
      </c>
      <c r="F34" s="896">
        <f>F24</f>
        <v>264980152.69</v>
      </c>
    </row>
    <row r="35" spans="1:15" ht="18.75" x14ac:dyDescent="0.3">
      <c r="A35" s="60" t="s">
        <v>746</v>
      </c>
      <c r="B35" s="62" t="s">
        <v>748</v>
      </c>
      <c r="C35" s="72">
        <f t="shared" si="0"/>
        <v>261596911.22000003</v>
      </c>
      <c r="D35" s="72">
        <f>+D27</f>
        <v>-127837223</v>
      </c>
      <c r="E35" s="72">
        <f>+E27</f>
        <v>389434134.22000003</v>
      </c>
      <c r="F35" s="72">
        <f>+F27</f>
        <v>274010091.17000002</v>
      </c>
    </row>
    <row r="36" spans="1:15" ht="16.5" x14ac:dyDescent="0.25">
      <c r="A36" s="64"/>
      <c r="B36" s="65"/>
      <c r="D36" s="16"/>
      <c r="E36" s="16"/>
      <c r="F36" s="16"/>
      <c r="G36" s="16"/>
    </row>
    <row r="37" spans="1:15" ht="21.95" customHeight="1" x14ac:dyDescent="0.3">
      <c r="A37" s="128" t="s">
        <v>174</v>
      </c>
      <c r="B37" s="242"/>
      <c r="C37" s="243"/>
      <c r="D37" s="244"/>
      <c r="E37" s="242" t="s">
        <v>1171</v>
      </c>
      <c r="F37" s="242"/>
      <c r="G37" s="27"/>
      <c r="H37" s="38"/>
      <c r="I37" s="14">
        <v>9679683.6400000006</v>
      </c>
      <c r="J37" s="14"/>
      <c r="K37" s="12"/>
      <c r="L37" s="14"/>
      <c r="M37" s="37"/>
      <c r="N37" s="8"/>
      <c r="O37" s="8"/>
    </row>
    <row r="38" spans="1:15" hidden="1" x14ac:dyDescent="0.2"/>
    <row r="39" spans="1:15" hidden="1" x14ac:dyDescent="0.2">
      <c r="C39" s="71" t="b">
        <f>C35=C25</f>
        <v>1</v>
      </c>
      <c r="D39" s="71" t="b">
        <f>D35=D25</f>
        <v>1</v>
      </c>
      <c r="E39" s="71" t="b">
        <f>E35=E25</f>
        <v>1</v>
      </c>
      <c r="F39" s="71" t="b">
        <f>F35=F25</f>
        <v>1</v>
      </c>
    </row>
    <row r="40" spans="1:15" hidden="1" x14ac:dyDescent="0.2">
      <c r="C40" s="71" t="b">
        <f>C27=C13</f>
        <v>1</v>
      </c>
      <c r="D40" s="71" t="b">
        <f>D27=D13</f>
        <v>1</v>
      </c>
      <c r="E40" s="71" t="b">
        <f>E27=E13</f>
        <v>1</v>
      </c>
      <c r="F40" s="71" t="b">
        <f>F27=F13</f>
        <v>1</v>
      </c>
    </row>
    <row r="41" spans="1:15" hidden="1" x14ac:dyDescent="0.2"/>
    <row r="42" spans="1:15" hidden="1" x14ac:dyDescent="0.2"/>
    <row r="43" spans="1:15" hidden="1" x14ac:dyDescent="0.2"/>
    <row r="44" spans="1:15" hidden="1" x14ac:dyDescent="0.2">
      <c r="A44" s="18"/>
      <c r="B44" s="18"/>
      <c r="C44" s="18"/>
      <c r="D44" s="18"/>
      <c r="E44" s="18"/>
      <c r="F44" s="18"/>
    </row>
    <row r="45" spans="1:15" hidden="1" x14ac:dyDescent="0.2">
      <c r="A45" s="18"/>
      <c r="B45" s="18"/>
      <c r="C45" s="226">
        <f>C22-C23</f>
        <v>261596911.22000003</v>
      </c>
      <c r="D45" s="226">
        <f>D22-D23</f>
        <v>137142929.69</v>
      </c>
      <c r="E45" s="226">
        <f>E22-E23</f>
        <v>124453981.53</v>
      </c>
      <c r="F45" s="226">
        <f>F22-F23</f>
        <v>9029938.4800000004</v>
      </c>
      <c r="G45" s="68">
        <f>G22-G23</f>
        <v>0</v>
      </c>
    </row>
    <row r="46" spans="1:15" hidden="1" x14ac:dyDescent="0.2">
      <c r="A46" s="18"/>
      <c r="B46" s="18"/>
      <c r="C46" s="18"/>
      <c r="D46" s="18"/>
      <c r="E46" s="18"/>
      <c r="F46" s="18"/>
    </row>
    <row r="47" spans="1:15" hidden="1" x14ac:dyDescent="0.2">
      <c r="A47" s="18"/>
      <c r="B47" s="18"/>
      <c r="C47" s="18"/>
      <c r="D47" s="18"/>
      <c r="E47" s="18"/>
      <c r="F47" s="18"/>
    </row>
    <row r="48" spans="1:15" hidden="1" x14ac:dyDescent="0.2">
      <c r="A48" s="18"/>
      <c r="B48" s="18" t="s">
        <v>739</v>
      </c>
      <c r="C48" s="226">
        <f>C49-C35</f>
        <v>-14076408.00000003</v>
      </c>
      <c r="D48" s="226">
        <f>D49-D35</f>
        <v>73264510</v>
      </c>
      <c r="E48" s="226">
        <f>E49-E35</f>
        <v>-87340918</v>
      </c>
      <c r="F48" s="226">
        <f>F49-F35</f>
        <v>-96320756.480000019</v>
      </c>
    </row>
    <row r="49" spans="1:7" hidden="1" x14ac:dyDescent="0.2">
      <c r="A49" s="18"/>
      <c r="B49" s="18"/>
      <c r="C49" s="226">
        <v>247520503.22</v>
      </c>
      <c r="D49" s="226">
        <v>-54572713</v>
      </c>
      <c r="E49" s="226">
        <v>302093216.22000003</v>
      </c>
      <c r="F49" s="226">
        <v>177689334.69</v>
      </c>
      <c r="G49" s="68">
        <f>G35-G48</f>
        <v>0</v>
      </c>
    </row>
    <row r="50" spans="1:7" hidden="1" x14ac:dyDescent="0.2">
      <c r="A50" s="18"/>
      <c r="B50" s="18"/>
      <c r="C50" s="18"/>
      <c r="D50" s="18"/>
      <c r="E50" s="18"/>
      <c r="F50" s="18"/>
    </row>
    <row r="51" spans="1:7" hidden="1" x14ac:dyDescent="0.2">
      <c r="A51" s="18"/>
      <c r="B51" s="18" t="s">
        <v>1032</v>
      </c>
      <c r="C51" s="18">
        <v>0</v>
      </c>
      <c r="D51" s="18">
        <v>-177689334.69</v>
      </c>
      <c r="E51" s="18">
        <v>177689334.69</v>
      </c>
      <c r="F51" s="18">
        <v>177689334.69</v>
      </c>
    </row>
    <row r="52" spans="1:7" hidden="1" x14ac:dyDescent="0.2">
      <c r="A52" s="18"/>
      <c r="B52" s="18"/>
      <c r="C52" s="226">
        <f>C24-C51</f>
        <v>0</v>
      </c>
      <c r="D52" s="226">
        <f>D24-D51</f>
        <v>-87290818</v>
      </c>
      <c r="E52" s="226">
        <f>E24-E51</f>
        <v>87290818</v>
      </c>
      <c r="F52" s="226">
        <f>F24-F51</f>
        <v>87290818</v>
      </c>
    </row>
    <row r="53" spans="1:7" hidden="1" x14ac:dyDescent="0.2"/>
    <row r="54" spans="1:7" hidden="1" x14ac:dyDescent="0.2"/>
    <row r="55" spans="1:7" hidden="1" x14ac:dyDescent="0.2"/>
    <row r="56" spans="1:7" hidden="1" x14ac:dyDescent="0.2"/>
    <row r="57" spans="1:7" hidden="1" x14ac:dyDescent="0.2"/>
    <row r="58" spans="1:7" hidden="1" x14ac:dyDescent="0.2"/>
    <row r="59" spans="1:7" hidden="1" x14ac:dyDescent="0.2"/>
    <row r="60" spans="1:7" hidden="1" x14ac:dyDescent="0.2"/>
    <row r="61" spans="1:7" hidden="1" x14ac:dyDescent="0.2"/>
    <row r="62" spans="1:7" hidden="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sheetData>
  <mergeCells count="6">
    <mergeCell ref="E9:F9"/>
    <mergeCell ref="A5:G5"/>
    <mergeCell ref="A9:A10"/>
    <mergeCell ref="B9:B10"/>
    <mergeCell ref="D9:D10"/>
    <mergeCell ref="C9:C10"/>
  </mergeCells>
  <phoneticPr fontId="0" type="noConversion"/>
  <pageMargins left="0.78740157480314965" right="0.39370078740157483" top="0.19685039370078741" bottom="0.15748031496062992" header="0.15748031496062992" footer="0.1574803149606299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filterMode="1">
    <tabColor rgb="FFC00000"/>
  </sheetPr>
  <dimension ref="A1:BK375"/>
  <sheetViews>
    <sheetView showZeros="0" view="pageBreakPreview" zoomScale="60" zoomScaleNormal="75" workbookViewId="0">
      <pane xSplit="4" ySplit="16" topLeftCell="E17" activePane="bottomRight" state="frozen"/>
      <selection pane="topRight" activeCell="E1" sqref="E1"/>
      <selection pane="bottomLeft" activeCell="A17" sqref="A17"/>
      <selection pane="bottomRight" activeCell="A321" sqref="A321:IV375"/>
    </sheetView>
  </sheetViews>
  <sheetFormatPr defaultRowHeight="12.75" x14ac:dyDescent="0.2"/>
  <cols>
    <col min="1" max="1" width="14.42578125" style="441" customWidth="1"/>
    <col min="2" max="2" width="13.7109375" style="441" customWidth="1"/>
    <col min="3" max="3" width="16.85546875" style="441" customWidth="1"/>
    <col min="4" max="4" width="44.28515625" style="369" customWidth="1"/>
    <col min="5" max="5" width="19" style="369" customWidth="1"/>
    <col min="6" max="6" width="18.85546875" style="369" customWidth="1"/>
    <col min="7" max="7" width="18.42578125" style="369" customWidth="1"/>
    <col min="8" max="8" width="18.28515625" style="369" customWidth="1"/>
    <col min="9" max="9" width="17.5703125" style="369" customWidth="1"/>
    <col min="10" max="10" width="20.7109375" style="369" customWidth="1"/>
    <col min="11" max="11" width="18.85546875" style="369" customWidth="1"/>
    <col min="12" max="12" width="14.85546875" style="369" customWidth="1"/>
    <col min="13" max="13" width="15.85546875" style="369" customWidth="1"/>
    <col min="14" max="14" width="19.7109375" style="369" customWidth="1"/>
    <col min="15" max="15" width="17" style="369" customWidth="1"/>
    <col min="16" max="16" width="18.140625" style="442" customWidth="1"/>
    <col min="17" max="17" width="20.5703125" style="369" customWidth="1"/>
    <col min="18" max="18" width="20.28515625" style="369" hidden="1" customWidth="1"/>
    <col min="19" max="19" width="22.28515625" style="371" hidden="1" customWidth="1"/>
    <col min="20" max="20" width="21.42578125" style="371" hidden="1" customWidth="1"/>
    <col min="21" max="21" width="14.28515625" style="371" hidden="1" customWidth="1"/>
    <col min="22" max="22" width="17.28515625" style="371" hidden="1" customWidth="1"/>
    <col min="23" max="23" width="12.85546875" style="371" hidden="1" customWidth="1"/>
    <col min="24" max="42" width="0" style="371" hidden="1" customWidth="1"/>
    <col min="43" max="16384" width="9.140625" style="371"/>
  </cols>
  <sheetData>
    <row r="1" spans="1:22" ht="18.75" x14ac:dyDescent="0.3">
      <c r="A1" s="367"/>
      <c r="B1" s="367"/>
      <c r="C1" s="367"/>
      <c r="D1" s="368"/>
      <c r="E1" s="368"/>
      <c r="F1" s="368"/>
      <c r="G1" s="368"/>
      <c r="H1" s="368"/>
      <c r="I1" s="368"/>
      <c r="J1" s="368"/>
      <c r="K1" s="368"/>
      <c r="M1" s="370"/>
      <c r="N1" s="1703" t="s">
        <v>240</v>
      </c>
      <c r="O1" s="1703"/>
      <c r="P1" s="1704"/>
      <c r="Q1" s="1703"/>
      <c r="R1" s="369">
        <v>1</v>
      </c>
    </row>
    <row r="2" spans="1:22" ht="18.75" x14ac:dyDescent="0.3">
      <c r="A2" s="367"/>
      <c r="B2" s="367"/>
      <c r="C2" s="367"/>
      <c r="D2" s="368"/>
      <c r="E2" s="368"/>
      <c r="F2" s="368"/>
      <c r="G2" s="368"/>
      <c r="H2" s="368"/>
      <c r="I2" s="368" t="s">
        <v>273</v>
      </c>
      <c r="J2" s="368"/>
      <c r="K2" s="370"/>
      <c r="L2" s="370"/>
      <c r="M2" s="370"/>
      <c r="N2" s="1703" t="s">
        <v>274</v>
      </c>
      <c r="O2" s="1703"/>
      <c r="P2" s="1704"/>
      <c r="Q2" s="1703"/>
      <c r="R2" s="369">
        <v>1</v>
      </c>
    </row>
    <row r="3" spans="1:22" ht="18.75" x14ac:dyDescent="0.3">
      <c r="A3" s="367"/>
      <c r="B3" s="367"/>
      <c r="C3" s="367"/>
      <c r="D3" s="368"/>
      <c r="E3" s="368"/>
      <c r="F3" s="368"/>
      <c r="G3" s="368"/>
      <c r="H3" s="368"/>
      <c r="I3" s="368"/>
      <c r="J3" s="368"/>
      <c r="K3" s="370"/>
      <c r="L3" s="372"/>
      <c r="M3" s="372"/>
      <c r="N3" s="502" t="s">
        <v>1417</v>
      </c>
      <c r="O3" s="503"/>
      <c r="P3" s="502"/>
      <c r="Q3" s="503"/>
      <c r="R3" s="369">
        <v>1</v>
      </c>
    </row>
    <row r="4" spans="1:22" s="257" customFormat="1" ht="22.5" x14ac:dyDescent="0.3">
      <c r="A4" s="1690" t="s">
        <v>749</v>
      </c>
      <c r="B4" s="1690"/>
      <c r="C4" s="1690"/>
      <c r="D4" s="1690"/>
      <c r="E4" s="1690"/>
      <c r="F4" s="1690"/>
      <c r="G4" s="1690"/>
      <c r="H4" s="1690"/>
      <c r="I4" s="1690"/>
      <c r="J4" s="1690"/>
      <c r="K4" s="1690"/>
      <c r="L4" s="1690"/>
      <c r="M4" s="1690"/>
      <c r="N4" s="1690"/>
      <c r="O4" s="1690"/>
      <c r="P4" s="1690"/>
      <c r="Q4" s="1690"/>
      <c r="R4" s="369">
        <v>1</v>
      </c>
    </row>
    <row r="5" spans="1:22" ht="22.5" x14ac:dyDescent="0.3">
      <c r="A5" s="1710" t="s">
        <v>1049</v>
      </c>
      <c r="B5" s="1710"/>
      <c r="C5" s="1710"/>
      <c r="D5" s="1710"/>
      <c r="E5" s="1710"/>
      <c r="F5" s="1710"/>
      <c r="G5" s="1710"/>
      <c r="H5" s="1710"/>
      <c r="I5" s="1710"/>
      <c r="J5" s="1710"/>
      <c r="K5" s="1710"/>
      <c r="L5" s="1710"/>
      <c r="M5" s="1710"/>
      <c r="N5" s="1710"/>
      <c r="O5" s="1710"/>
      <c r="P5" s="1710"/>
      <c r="Q5" s="1710"/>
      <c r="R5" s="369">
        <v>1</v>
      </c>
    </row>
    <row r="6" spans="1:22" ht="22.5" hidden="1" x14ac:dyDescent="0.3">
      <c r="A6" s="520"/>
      <c r="B6" s="520"/>
      <c r="C6" s="520"/>
      <c r="D6" s="520"/>
      <c r="E6" s="520"/>
      <c r="F6" s="520"/>
      <c r="G6" s="520"/>
      <c r="H6" s="520"/>
      <c r="I6" s="520"/>
      <c r="J6" s="520"/>
      <c r="K6" s="520"/>
      <c r="L6" s="520"/>
      <c r="M6" s="520"/>
      <c r="N6" s="520"/>
      <c r="O6" s="520"/>
      <c r="P6" s="520"/>
      <c r="Q6" s="520"/>
    </row>
    <row r="7" spans="1:22" ht="23.25" x14ac:dyDescent="0.35">
      <c r="A7" s="1688" t="s">
        <v>855</v>
      </c>
      <c r="B7" s="1688"/>
      <c r="C7" s="556"/>
      <c r="D7" s="556"/>
      <c r="E7" s="556"/>
      <c r="F7" s="556"/>
      <c r="G7" s="556"/>
      <c r="H7" s="556"/>
      <c r="I7" s="556"/>
      <c r="J7" s="556"/>
      <c r="K7" s="556"/>
      <c r="L7" s="556"/>
      <c r="M7" s="556"/>
      <c r="N7" s="556"/>
      <c r="O7" s="556"/>
      <c r="P7" s="556"/>
      <c r="Q7" s="556"/>
      <c r="R7" s="369">
        <v>1</v>
      </c>
    </row>
    <row r="8" spans="1:22" ht="23.25" x14ac:dyDescent="0.35">
      <c r="A8" s="1689" t="s">
        <v>856</v>
      </c>
      <c r="B8" s="1689"/>
      <c r="C8" s="556"/>
      <c r="D8" s="556"/>
      <c r="E8" s="1414"/>
      <c r="F8" s="1414"/>
      <c r="G8" s="1414"/>
      <c r="H8" s="1414"/>
      <c r="I8" s="1414"/>
      <c r="J8" s="1414"/>
      <c r="K8" s="1414"/>
      <c r="L8" s="1414"/>
      <c r="M8" s="1414"/>
      <c r="N8" s="1414"/>
      <c r="O8" s="1414"/>
      <c r="P8" s="1414"/>
      <c r="Q8" s="1414"/>
      <c r="R8" s="369">
        <v>1</v>
      </c>
    </row>
    <row r="9" spans="1:22" ht="16.5" x14ac:dyDescent="0.25">
      <c r="A9" s="373"/>
      <c r="B9" s="373"/>
      <c r="C9" s="373"/>
      <c r="D9" s="374"/>
      <c r="E9" s="374"/>
      <c r="F9" s="374"/>
      <c r="G9" s="374"/>
      <c r="H9" s="374"/>
      <c r="I9" s="374"/>
      <c r="J9" s="374"/>
      <c r="K9" s="374"/>
      <c r="L9" s="371"/>
      <c r="M9" s="371"/>
      <c r="N9" s="374"/>
      <c r="O9" s="371"/>
      <c r="P9" s="369"/>
      <c r="Q9" s="375" t="s">
        <v>737</v>
      </c>
      <c r="R9" s="376">
        <v>1</v>
      </c>
    </row>
    <row r="10" spans="1:22" ht="16.5" x14ac:dyDescent="0.2">
      <c r="A10" s="1697" t="s">
        <v>900</v>
      </c>
      <c r="B10" s="1697" t="s">
        <v>901</v>
      </c>
      <c r="C10" s="1697" t="s">
        <v>750</v>
      </c>
      <c r="D10" s="1700" t="s">
        <v>902</v>
      </c>
      <c r="E10" s="1693" t="s">
        <v>53</v>
      </c>
      <c r="F10" s="1693"/>
      <c r="G10" s="1693"/>
      <c r="H10" s="1693"/>
      <c r="I10" s="1693"/>
      <c r="J10" s="1693" t="s">
        <v>54</v>
      </c>
      <c r="K10" s="1693"/>
      <c r="L10" s="1693"/>
      <c r="M10" s="1693"/>
      <c r="N10" s="1693"/>
      <c r="O10" s="1708"/>
      <c r="P10" s="1709"/>
      <c r="Q10" s="1705" t="s">
        <v>55</v>
      </c>
      <c r="R10" s="377">
        <v>1</v>
      </c>
    </row>
    <row r="11" spans="1:22" ht="16.5" x14ac:dyDescent="0.2">
      <c r="A11" s="1698"/>
      <c r="B11" s="1698"/>
      <c r="C11" s="1698"/>
      <c r="D11" s="1701"/>
      <c r="E11" s="1694" t="s">
        <v>744</v>
      </c>
      <c r="F11" s="1694" t="s">
        <v>84</v>
      </c>
      <c r="G11" s="1695" t="s">
        <v>196</v>
      </c>
      <c r="H11" s="1695"/>
      <c r="I11" s="1694" t="s">
        <v>85</v>
      </c>
      <c r="J11" s="1694" t="s">
        <v>744</v>
      </c>
      <c r="K11" s="1694" t="s">
        <v>84</v>
      </c>
      <c r="L11" s="1695" t="s">
        <v>208</v>
      </c>
      <c r="M11" s="1695"/>
      <c r="N11" s="1696" t="s">
        <v>85</v>
      </c>
      <c r="O11" s="378" t="s">
        <v>208</v>
      </c>
      <c r="P11" s="379"/>
      <c r="Q11" s="1706"/>
      <c r="R11" s="377">
        <v>1</v>
      </c>
    </row>
    <row r="12" spans="1:22" ht="16.5" x14ac:dyDescent="0.2">
      <c r="A12" s="1698"/>
      <c r="B12" s="1698"/>
      <c r="C12" s="1698"/>
      <c r="D12" s="1701"/>
      <c r="E12" s="1694"/>
      <c r="F12" s="1694"/>
      <c r="G12" s="1695"/>
      <c r="H12" s="1695"/>
      <c r="I12" s="1694"/>
      <c r="J12" s="1694"/>
      <c r="K12" s="1694"/>
      <c r="L12" s="1695"/>
      <c r="M12" s="1695"/>
      <c r="N12" s="1694"/>
      <c r="O12" s="1707" t="s">
        <v>209</v>
      </c>
      <c r="P12" s="380" t="s">
        <v>208</v>
      </c>
      <c r="Q12" s="1705"/>
      <c r="R12" s="377">
        <v>1</v>
      </c>
    </row>
    <row r="13" spans="1:22" x14ac:dyDescent="0.2">
      <c r="A13" s="1698"/>
      <c r="B13" s="1698"/>
      <c r="C13" s="1698"/>
      <c r="D13" s="1701"/>
      <c r="E13" s="1694"/>
      <c r="F13" s="1694"/>
      <c r="G13" s="1694" t="s">
        <v>200</v>
      </c>
      <c r="H13" s="1694" t="s">
        <v>177</v>
      </c>
      <c r="I13" s="1694"/>
      <c r="J13" s="1694"/>
      <c r="K13" s="1694"/>
      <c r="L13" s="1694" t="s">
        <v>200</v>
      </c>
      <c r="M13" s="1694" t="s">
        <v>177</v>
      </c>
      <c r="N13" s="1694"/>
      <c r="O13" s="1694"/>
      <c r="P13" s="1691" t="s">
        <v>113</v>
      </c>
      <c r="Q13" s="1705"/>
      <c r="R13" s="377">
        <v>1</v>
      </c>
    </row>
    <row r="14" spans="1:22" x14ac:dyDescent="0.2">
      <c r="A14" s="1698"/>
      <c r="B14" s="1698"/>
      <c r="C14" s="1698"/>
      <c r="D14" s="1701"/>
      <c r="E14" s="1694"/>
      <c r="F14" s="1694"/>
      <c r="G14" s="1694"/>
      <c r="H14" s="1694"/>
      <c r="I14" s="1694"/>
      <c r="J14" s="1694"/>
      <c r="K14" s="1694"/>
      <c r="L14" s="1694"/>
      <c r="M14" s="1694"/>
      <c r="N14" s="1694"/>
      <c r="O14" s="1694"/>
      <c r="P14" s="1691"/>
      <c r="Q14" s="1705"/>
      <c r="R14" s="377">
        <v>1</v>
      </c>
    </row>
    <row r="15" spans="1:22" ht="150.6" customHeight="1" x14ac:dyDescent="0.2">
      <c r="A15" s="1699"/>
      <c r="B15" s="1699"/>
      <c r="C15" s="1699"/>
      <c r="D15" s="1702"/>
      <c r="E15" s="1694"/>
      <c r="F15" s="1694"/>
      <c r="G15" s="1694"/>
      <c r="H15" s="1694"/>
      <c r="I15" s="1694"/>
      <c r="J15" s="1694"/>
      <c r="K15" s="1694"/>
      <c r="L15" s="1694"/>
      <c r="M15" s="1694"/>
      <c r="N15" s="1694"/>
      <c r="O15" s="1694"/>
      <c r="P15" s="1692"/>
      <c r="Q15" s="1705"/>
      <c r="R15" s="377">
        <v>1</v>
      </c>
    </row>
    <row r="16" spans="1:22" ht="15.75" x14ac:dyDescent="0.25">
      <c r="A16" s="623" t="s">
        <v>285</v>
      </c>
      <c r="B16" s="623" t="s">
        <v>286</v>
      </c>
      <c r="C16" s="623" t="s">
        <v>287</v>
      </c>
      <c r="D16" s="624">
        <v>4</v>
      </c>
      <c r="E16" s="624">
        <v>5</v>
      </c>
      <c r="F16" s="624">
        <v>6</v>
      </c>
      <c r="G16" s="624">
        <v>7</v>
      </c>
      <c r="H16" s="624">
        <v>8</v>
      </c>
      <c r="I16" s="624">
        <v>9</v>
      </c>
      <c r="J16" s="624">
        <v>10</v>
      </c>
      <c r="K16" s="624">
        <v>11</v>
      </c>
      <c r="L16" s="624">
        <v>12</v>
      </c>
      <c r="M16" s="624">
        <v>13</v>
      </c>
      <c r="N16" s="624">
        <v>14</v>
      </c>
      <c r="O16" s="624">
        <v>15</v>
      </c>
      <c r="P16" s="625">
        <v>16</v>
      </c>
      <c r="Q16" s="624">
        <v>17</v>
      </c>
      <c r="R16" s="381">
        <f>+E16+J16</f>
        <v>15</v>
      </c>
      <c r="T16" s="382">
        <f>P16-O16</f>
        <v>1</v>
      </c>
      <c r="U16" s="382"/>
      <c r="V16" s="382">
        <f>O16-N16</f>
        <v>1</v>
      </c>
    </row>
    <row r="17" spans="1:22" s="384" customFormat="1" ht="15.75" x14ac:dyDescent="0.25">
      <c r="A17" s="393" t="s">
        <v>70</v>
      </c>
      <c r="B17" s="393"/>
      <c r="C17" s="393"/>
      <c r="D17" s="394" t="s">
        <v>47</v>
      </c>
      <c r="E17" s="916">
        <f>SUM(E19:E29)</f>
        <v>47632986</v>
      </c>
      <c r="F17" s="916">
        <f t="shared" ref="F17:Q17" si="0">SUM(F19:F29)</f>
        <v>47632986</v>
      </c>
      <c r="G17" s="916">
        <f t="shared" si="0"/>
        <v>19566300</v>
      </c>
      <c r="H17" s="1330">
        <f t="shared" si="0"/>
        <v>1080500</v>
      </c>
      <c r="I17" s="1330">
        <f t="shared" si="0"/>
        <v>0</v>
      </c>
      <c r="J17" s="1330">
        <f t="shared" si="0"/>
        <v>11420371</v>
      </c>
      <c r="K17" s="1330">
        <f t="shared" si="0"/>
        <v>300000</v>
      </c>
      <c r="L17" s="1330">
        <f t="shared" si="0"/>
        <v>0</v>
      </c>
      <c r="M17" s="1330">
        <f t="shared" si="0"/>
        <v>0</v>
      </c>
      <c r="N17" s="1330">
        <f t="shared" si="0"/>
        <v>11120371</v>
      </c>
      <c r="O17" s="1330">
        <f t="shared" si="0"/>
        <v>10611971</v>
      </c>
      <c r="P17" s="1330">
        <f t="shared" si="0"/>
        <v>10611971</v>
      </c>
      <c r="Q17" s="1330">
        <f t="shared" si="0"/>
        <v>59053357</v>
      </c>
      <c r="R17" s="381">
        <f>+E17+J17</f>
        <v>59053357</v>
      </c>
      <c r="S17" s="383">
        <f>R17-Q17</f>
        <v>0</v>
      </c>
      <c r="T17" s="382">
        <f>P17-O17</f>
        <v>0</v>
      </c>
      <c r="U17" s="382"/>
      <c r="V17" s="382">
        <f>O17-N17</f>
        <v>-508400</v>
      </c>
    </row>
    <row r="18" spans="1:22" s="384" customFormat="1" ht="15.75" x14ac:dyDescent="0.25">
      <c r="A18" s="393" t="s">
        <v>71</v>
      </c>
      <c r="B18" s="393"/>
      <c r="C18" s="393"/>
      <c r="D18" s="394" t="s">
        <v>47</v>
      </c>
      <c r="E18" s="916">
        <f>E19+E22+E26+E28+E20+E29+E24+E23+E25+E27+E21</f>
        <v>47632986</v>
      </c>
      <c r="F18" s="916">
        <f t="shared" ref="F18:Q18" si="1">F19+F22+F26+F28+F20+F29+F24+F23+F25+F27+F21</f>
        <v>47632986</v>
      </c>
      <c r="G18" s="916">
        <f t="shared" si="1"/>
        <v>19566300</v>
      </c>
      <c r="H18" s="1330">
        <f t="shared" si="1"/>
        <v>1080500</v>
      </c>
      <c r="I18" s="1330">
        <f t="shared" si="1"/>
        <v>0</v>
      </c>
      <c r="J18" s="1330">
        <f t="shared" si="1"/>
        <v>11420371</v>
      </c>
      <c r="K18" s="1330">
        <f t="shared" si="1"/>
        <v>300000</v>
      </c>
      <c r="L18" s="1330">
        <f t="shared" si="1"/>
        <v>0</v>
      </c>
      <c r="M18" s="1330">
        <f t="shared" si="1"/>
        <v>0</v>
      </c>
      <c r="N18" s="1330">
        <f t="shared" si="1"/>
        <v>11120371</v>
      </c>
      <c r="O18" s="1330">
        <f t="shared" si="1"/>
        <v>10611971</v>
      </c>
      <c r="P18" s="1330">
        <f t="shared" si="1"/>
        <v>10611971</v>
      </c>
      <c r="Q18" s="1330">
        <f t="shared" si="1"/>
        <v>59053357</v>
      </c>
      <c r="R18" s="381">
        <f t="shared" ref="R18:R81" si="2">+E18+J18</f>
        <v>59053357</v>
      </c>
      <c r="S18" s="383">
        <f>R18-Q18</f>
        <v>0</v>
      </c>
      <c r="T18" s="382">
        <f t="shared" ref="T18:T108" si="3">P18-O18</f>
        <v>0</v>
      </c>
      <c r="U18" s="382"/>
      <c r="V18" s="382">
        <f t="shared" ref="V18:V106" si="4">O18-N18</f>
        <v>-508400</v>
      </c>
    </row>
    <row r="19" spans="1:22" s="386" customFormat="1" ht="78.75" x14ac:dyDescent="0.25">
      <c r="A19" s="387" t="s">
        <v>288</v>
      </c>
      <c r="B19" s="387" t="s">
        <v>289</v>
      </c>
      <c r="C19" s="387" t="s">
        <v>8</v>
      </c>
      <c r="D19" s="392" t="s">
        <v>176</v>
      </c>
      <c r="E19" s="491">
        <f>F19+I19</f>
        <v>29309100</v>
      </c>
      <c r="F19" s="491">
        <f>27509100+1800000</f>
        <v>29309100</v>
      </c>
      <c r="G19" s="491">
        <f>18566300+1000000</f>
        <v>19566300</v>
      </c>
      <c r="H19" s="492">
        <v>1080500</v>
      </c>
      <c r="I19" s="492"/>
      <c r="J19" s="492">
        <f t="shared" ref="J19:J29" si="5">+K19+N19</f>
        <v>0</v>
      </c>
      <c r="K19" s="492"/>
      <c r="L19" s="492"/>
      <c r="M19" s="492"/>
      <c r="N19" s="492"/>
      <c r="O19" s="492"/>
      <c r="P19" s="492"/>
      <c r="Q19" s="492">
        <f t="shared" ref="Q19:Q28" si="6">+J19+E19</f>
        <v>29309100</v>
      </c>
      <c r="R19" s="381">
        <f t="shared" si="2"/>
        <v>29309100</v>
      </c>
      <c r="S19" s="383">
        <f>R19-Q19</f>
        <v>0</v>
      </c>
      <c r="T19" s="382">
        <f t="shared" si="3"/>
        <v>0</v>
      </c>
      <c r="U19" s="382"/>
      <c r="V19" s="382">
        <f t="shared" si="4"/>
        <v>0</v>
      </c>
    </row>
    <row r="20" spans="1:22" s="386" customFormat="1" ht="31.5" hidden="1" x14ac:dyDescent="0.25">
      <c r="A20" s="654" t="s">
        <v>301</v>
      </c>
      <c r="B20" s="654" t="s">
        <v>11</v>
      </c>
      <c r="C20" s="654" t="s">
        <v>14</v>
      </c>
      <c r="D20" s="655" t="s">
        <v>302</v>
      </c>
      <c r="E20" s="656">
        <f>F20+I20</f>
        <v>0</v>
      </c>
      <c r="F20" s="656"/>
      <c r="G20" s="656"/>
      <c r="H20" s="656"/>
      <c r="I20" s="656"/>
      <c r="J20" s="656">
        <f>+K20+N20</f>
        <v>0</v>
      </c>
      <c r="K20" s="656"/>
      <c r="L20" s="656"/>
      <c r="M20" s="656"/>
      <c r="N20" s="656"/>
      <c r="O20" s="656"/>
      <c r="P20" s="656"/>
      <c r="Q20" s="656">
        <f t="shared" si="6"/>
        <v>0</v>
      </c>
      <c r="R20" s="381">
        <f t="shared" si="2"/>
        <v>0</v>
      </c>
      <c r="S20" s="383">
        <f>R20-Q20</f>
        <v>0</v>
      </c>
      <c r="T20" s="382">
        <f t="shared" si="3"/>
        <v>0</v>
      </c>
      <c r="U20" s="382"/>
      <c r="V20" s="382">
        <f t="shared" si="4"/>
        <v>0</v>
      </c>
    </row>
    <row r="21" spans="1:22" s="386" customFormat="1" ht="18.75" hidden="1" x14ac:dyDescent="0.25">
      <c r="A21" s="387" t="s">
        <v>1024</v>
      </c>
      <c r="B21" s="387" t="s">
        <v>1025</v>
      </c>
      <c r="C21" s="387" t="s">
        <v>1026</v>
      </c>
      <c r="D21" s="309" t="s">
        <v>1027</v>
      </c>
      <c r="E21" s="385">
        <f>F21+I21</f>
        <v>0</v>
      </c>
      <c r="F21" s="385"/>
      <c r="G21" s="600"/>
      <c r="H21" s="600"/>
      <c r="I21" s="600"/>
      <c r="J21" s="600">
        <f>+K21+N21</f>
        <v>0</v>
      </c>
      <c r="K21" s="600"/>
      <c r="L21" s="600"/>
      <c r="M21" s="600"/>
      <c r="N21" s="600"/>
      <c r="O21" s="600"/>
      <c r="P21" s="600"/>
      <c r="Q21" s="600">
        <f>+J21+E21</f>
        <v>0</v>
      </c>
      <c r="R21" s="381">
        <f t="shared" si="2"/>
        <v>0</v>
      </c>
      <c r="S21" s="383"/>
      <c r="T21" s="382"/>
      <c r="U21" s="382"/>
      <c r="V21" s="382"/>
    </row>
    <row r="22" spans="1:22" s="386" customFormat="1" ht="31.5" x14ac:dyDescent="0.25">
      <c r="A22" s="387" t="s">
        <v>291</v>
      </c>
      <c r="B22" s="387">
        <v>3242</v>
      </c>
      <c r="C22" s="387">
        <v>1090</v>
      </c>
      <c r="D22" s="392" t="s">
        <v>290</v>
      </c>
      <c r="E22" s="491">
        <f t="shared" ref="E22:E35" si="7">F22+I22</f>
        <v>12147921</v>
      </c>
      <c r="F22" s="491">
        <f>12030000+18100-70700+170521</f>
        <v>12147921</v>
      </c>
      <c r="G22" s="491"/>
      <c r="H22" s="492"/>
      <c r="I22" s="492"/>
      <c r="J22" s="492">
        <f t="shared" si="5"/>
        <v>0</v>
      </c>
      <c r="K22" s="492"/>
      <c r="L22" s="492"/>
      <c r="M22" s="492"/>
      <c r="N22" s="492"/>
      <c r="O22" s="492"/>
      <c r="P22" s="492"/>
      <c r="Q22" s="492">
        <f t="shared" si="6"/>
        <v>12147921</v>
      </c>
      <c r="R22" s="381">
        <f t="shared" si="2"/>
        <v>12147921</v>
      </c>
      <c r="S22" s="383">
        <f>R22-Q22</f>
        <v>0</v>
      </c>
      <c r="T22" s="382">
        <f t="shared" si="3"/>
        <v>0</v>
      </c>
      <c r="U22" s="382"/>
      <c r="V22" s="382">
        <f t="shared" si="4"/>
        <v>0</v>
      </c>
    </row>
    <row r="23" spans="1:22" s="297" customFormat="1" ht="63" hidden="1" x14ac:dyDescent="0.25">
      <c r="A23" s="614" t="s">
        <v>570</v>
      </c>
      <c r="B23" s="614" t="s">
        <v>571</v>
      </c>
      <c r="C23" s="614" t="s">
        <v>572</v>
      </c>
      <c r="D23" s="617" t="s">
        <v>573</v>
      </c>
      <c r="E23" s="657">
        <f t="shared" si="7"/>
        <v>0</v>
      </c>
      <c r="F23" s="658"/>
      <c r="G23" s="658"/>
      <c r="H23" s="658"/>
      <c r="I23" s="658"/>
      <c r="J23" s="658">
        <f t="shared" si="5"/>
        <v>0</v>
      </c>
      <c r="K23" s="658"/>
      <c r="L23" s="658"/>
      <c r="M23" s="658"/>
      <c r="N23" s="658"/>
      <c r="O23" s="658"/>
      <c r="P23" s="658"/>
      <c r="Q23" s="658">
        <f t="shared" si="6"/>
        <v>0</v>
      </c>
      <c r="R23" s="381">
        <f t="shared" si="2"/>
        <v>0</v>
      </c>
      <c r="S23" s="295">
        <f>R23-Q23</f>
        <v>0</v>
      </c>
      <c r="T23" s="382">
        <f t="shared" si="3"/>
        <v>0</v>
      </c>
      <c r="U23" s="296"/>
      <c r="V23" s="382">
        <f t="shared" si="4"/>
        <v>0</v>
      </c>
    </row>
    <row r="24" spans="1:22" s="298" customFormat="1" ht="31.5" x14ac:dyDescent="0.25">
      <c r="A24" s="44" t="s">
        <v>293</v>
      </c>
      <c r="B24" s="44" t="s">
        <v>292</v>
      </c>
      <c r="C24" s="44" t="s">
        <v>224</v>
      </c>
      <c r="D24" s="42" t="s">
        <v>925</v>
      </c>
      <c r="E24" s="204">
        <f t="shared" si="7"/>
        <v>0</v>
      </c>
      <c r="F24" s="204"/>
      <c r="G24" s="204"/>
      <c r="H24" s="204"/>
      <c r="I24" s="204"/>
      <c r="J24" s="204">
        <f t="shared" si="5"/>
        <v>4530728</v>
      </c>
      <c r="K24" s="204"/>
      <c r="L24" s="204"/>
      <c r="M24" s="204"/>
      <c r="N24" s="204">
        <v>4530728</v>
      </c>
      <c r="O24" s="204">
        <v>4530728</v>
      </c>
      <c r="P24" s="204">
        <v>4530728</v>
      </c>
      <c r="Q24" s="204">
        <f t="shared" si="6"/>
        <v>4530728</v>
      </c>
      <c r="R24" s="381">
        <f t="shared" si="2"/>
        <v>4530728</v>
      </c>
      <c r="S24" s="295">
        <f>R24-Q24</f>
        <v>0</v>
      </c>
      <c r="T24" s="382">
        <f t="shared" si="3"/>
        <v>0</v>
      </c>
      <c r="U24" s="296"/>
      <c r="V24" s="382">
        <f t="shared" si="4"/>
        <v>0</v>
      </c>
    </row>
    <row r="25" spans="1:22" s="257" customFormat="1" ht="31.5" x14ac:dyDescent="0.25">
      <c r="A25" s="44" t="s">
        <v>718</v>
      </c>
      <c r="B25" s="44" t="s">
        <v>472</v>
      </c>
      <c r="C25" s="44" t="s">
        <v>224</v>
      </c>
      <c r="D25" s="42" t="s">
        <v>122</v>
      </c>
      <c r="E25" s="204">
        <f t="shared" si="7"/>
        <v>400000</v>
      </c>
      <c r="F25" s="51">
        <v>400000</v>
      </c>
      <c r="G25" s="51"/>
      <c r="H25" s="51"/>
      <c r="I25" s="51"/>
      <c r="J25" s="204">
        <f t="shared" si="5"/>
        <v>0</v>
      </c>
      <c r="K25" s="51"/>
      <c r="L25" s="51"/>
      <c r="M25" s="51"/>
      <c r="N25" s="51"/>
      <c r="O25" s="51"/>
      <c r="P25" s="51"/>
      <c r="Q25" s="204">
        <f t="shared" si="6"/>
        <v>400000</v>
      </c>
      <c r="R25" s="381">
        <f t="shared" si="2"/>
        <v>400000</v>
      </c>
      <c r="S25" s="170"/>
      <c r="T25" s="382">
        <f t="shared" si="3"/>
        <v>0</v>
      </c>
      <c r="U25" s="296"/>
      <c r="V25" s="382">
        <f t="shared" si="4"/>
        <v>0</v>
      </c>
    </row>
    <row r="26" spans="1:22" s="182" customFormat="1" ht="31.5" hidden="1" x14ac:dyDescent="0.25">
      <c r="A26" s="659" t="s">
        <v>295</v>
      </c>
      <c r="B26" s="659" t="s">
        <v>296</v>
      </c>
      <c r="C26" s="659" t="s">
        <v>10</v>
      </c>
      <c r="D26" s="660" t="s">
        <v>75</v>
      </c>
      <c r="E26" s="661">
        <f t="shared" si="7"/>
        <v>0</v>
      </c>
      <c r="F26" s="661"/>
      <c r="G26" s="661"/>
      <c r="H26" s="661"/>
      <c r="I26" s="661"/>
      <c r="J26" s="661">
        <f t="shared" si="5"/>
        <v>0</v>
      </c>
      <c r="K26" s="661"/>
      <c r="L26" s="661"/>
      <c r="M26" s="661"/>
      <c r="N26" s="661"/>
      <c r="O26" s="661"/>
      <c r="P26" s="661"/>
      <c r="Q26" s="661">
        <f t="shared" si="6"/>
        <v>0</v>
      </c>
      <c r="R26" s="381">
        <f t="shared" si="2"/>
        <v>0</v>
      </c>
      <c r="S26" s="170">
        <f t="shared" ref="S26:S33" si="8">R26-Q26</f>
        <v>0</v>
      </c>
      <c r="T26" s="382">
        <f t="shared" si="3"/>
        <v>0</v>
      </c>
      <c r="U26" s="296"/>
      <c r="V26" s="382">
        <f t="shared" si="4"/>
        <v>0</v>
      </c>
    </row>
    <row r="27" spans="1:22" s="569" customFormat="1" ht="15.75" hidden="1" x14ac:dyDescent="0.25">
      <c r="A27" s="387" t="s">
        <v>1011</v>
      </c>
      <c r="B27" s="387" t="s">
        <v>456</v>
      </c>
      <c r="C27" s="387" t="s">
        <v>29</v>
      </c>
      <c r="D27" s="392" t="s">
        <v>76</v>
      </c>
      <c r="E27" s="412">
        <f t="shared" si="7"/>
        <v>0</v>
      </c>
      <c r="F27" s="412"/>
      <c r="G27" s="412"/>
      <c r="H27" s="412"/>
      <c r="I27" s="412"/>
      <c r="J27" s="412">
        <f t="shared" si="5"/>
        <v>0</v>
      </c>
      <c r="K27" s="412"/>
      <c r="L27" s="412"/>
      <c r="M27" s="412"/>
      <c r="N27" s="412"/>
      <c r="O27" s="412"/>
      <c r="P27" s="412"/>
      <c r="Q27" s="385">
        <f>J27+E27</f>
        <v>0</v>
      </c>
      <c r="R27" s="381">
        <f t="shared" si="2"/>
        <v>0</v>
      </c>
      <c r="S27" s="403">
        <f t="shared" si="8"/>
        <v>0</v>
      </c>
      <c r="T27" s="382">
        <f t="shared" si="3"/>
        <v>0</v>
      </c>
      <c r="U27" s="382"/>
      <c r="V27" s="382">
        <f t="shared" si="4"/>
        <v>0</v>
      </c>
    </row>
    <row r="28" spans="1:22" s="386" customFormat="1" ht="15.75" x14ac:dyDescent="0.25">
      <c r="A28" s="387" t="s">
        <v>303</v>
      </c>
      <c r="B28" s="387" t="s">
        <v>304</v>
      </c>
      <c r="C28" s="387" t="s">
        <v>11</v>
      </c>
      <c r="D28" s="392" t="s">
        <v>305</v>
      </c>
      <c r="E28" s="491">
        <f>F28+I28</f>
        <v>5294772</v>
      </c>
      <c r="F28" s="491">
        <f>867162+830753-830753+448653+3598958+379999</f>
        <v>5294772</v>
      </c>
      <c r="G28" s="491"/>
      <c r="H28" s="492"/>
      <c r="I28" s="492"/>
      <c r="J28" s="492">
        <f>+K28+N28</f>
        <v>6332555</v>
      </c>
      <c r="K28" s="492">
        <v>300000</v>
      </c>
      <c r="L28" s="492"/>
      <c r="M28" s="492"/>
      <c r="N28" s="492">
        <f>508400+337589+230850+4955716</f>
        <v>6032555</v>
      </c>
      <c r="O28" s="492">
        <f>337589+230850+4955716</f>
        <v>5524155</v>
      </c>
      <c r="P28" s="492">
        <f>337589+230850+4955716</f>
        <v>5524155</v>
      </c>
      <c r="Q28" s="492">
        <f t="shared" si="6"/>
        <v>11627327</v>
      </c>
      <c r="R28" s="381">
        <f t="shared" si="2"/>
        <v>11627327</v>
      </c>
      <c r="S28" s="383">
        <f t="shared" si="8"/>
        <v>0</v>
      </c>
      <c r="T28" s="382">
        <f t="shared" si="3"/>
        <v>0</v>
      </c>
      <c r="U28" s="382"/>
      <c r="V28" s="382">
        <f t="shared" si="4"/>
        <v>-508400</v>
      </c>
    </row>
    <row r="29" spans="1:22" s="297" customFormat="1" ht="63" x14ac:dyDescent="0.25">
      <c r="A29" s="614" t="s">
        <v>298</v>
      </c>
      <c r="B29" s="614" t="s">
        <v>299</v>
      </c>
      <c r="C29" s="614" t="s">
        <v>11</v>
      </c>
      <c r="D29" s="662" t="s">
        <v>300</v>
      </c>
      <c r="E29" s="663">
        <f t="shared" si="7"/>
        <v>481193</v>
      </c>
      <c r="F29" s="663">
        <f>6749+42450+431994</f>
        <v>481193</v>
      </c>
      <c r="G29" s="663"/>
      <c r="H29" s="663"/>
      <c r="I29" s="663"/>
      <c r="J29" s="663">
        <f t="shared" si="5"/>
        <v>557088</v>
      </c>
      <c r="K29" s="663"/>
      <c r="L29" s="663"/>
      <c r="M29" s="663"/>
      <c r="N29" s="663">
        <v>557088</v>
      </c>
      <c r="O29" s="663">
        <v>557088</v>
      </c>
      <c r="P29" s="663">
        <v>557088</v>
      </c>
      <c r="Q29" s="663">
        <f>+J29+F29</f>
        <v>1038281</v>
      </c>
      <c r="R29" s="381">
        <f t="shared" si="2"/>
        <v>1038281</v>
      </c>
      <c r="S29" s="295">
        <f t="shared" si="8"/>
        <v>0</v>
      </c>
      <c r="T29" s="382">
        <f t="shared" si="3"/>
        <v>0</v>
      </c>
      <c r="U29" s="296"/>
      <c r="V29" s="382">
        <f t="shared" si="4"/>
        <v>0</v>
      </c>
    </row>
    <row r="30" spans="1:22" s="395" customFormat="1" ht="31.5" x14ac:dyDescent="0.25">
      <c r="A30" s="393" t="s">
        <v>307</v>
      </c>
      <c r="B30" s="393"/>
      <c r="C30" s="393"/>
      <c r="D30" s="394" t="s">
        <v>48</v>
      </c>
      <c r="E30" s="916">
        <f>SUM(E32:E35)</f>
        <v>3370600</v>
      </c>
      <c r="F30" s="916">
        <f t="shared" ref="F30:P30" si="9">SUM(F32:F35)</f>
        <v>3370600</v>
      </c>
      <c r="G30" s="916">
        <f t="shared" si="9"/>
        <v>1745000</v>
      </c>
      <c r="H30" s="1330">
        <f t="shared" si="9"/>
        <v>143800</v>
      </c>
      <c r="I30" s="1330">
        <f t="shared" si="9"/>
        <v>0</v>
      </c>
      <c r="J30" s="1330">
        <f t="shared" si="9"/>
        <v>205400</v>
      </c>
      <c r="K30" s="1330">
        <f t="shared" si="9"/>
        <v>205400</v>
      </c>
      <c r="L30" s="1330">
        <f t="shared" si="9"/>
        <v>140000</v>
      </c>
      <c r="M30" s="1330">
        <f t="shared" si="9"/>
        <v>0</v>
      </c>
      <c r="N30" s="1330">
        <f t="shared" si="9"/>
        <v>0</v>
      </c>
      <c r="O30" s="1330">
        <f t="shared" si="9"/>
        <v>0</v>
      </c>
      <c r="P30" s="1330">
        <f t="shared" si="9"/>
        <v>0</v>
      </c>
      <c r="Q30" s="1330">
        <f>SUM(Q32:Q35)</f>
        <v>3576000</v>
      </c>
      <c r="R30" s="381">
        <f t="shared" si="2"/>
        <v>3576000</v>
      </c>
      <c r="S30" s="383">
        <f t="shared" si="8"/>
        <v>0</v>
      </c>
      <c r="T30" s="382">
        <f t="shared" si="3"/>
        <v>0</v>
      </c>
      <c r="U30" s="382"/>
      <c r="V30" s="382">
        <f t="shared" si="4"/>
        <v>0</v>
      </c>
    </row>
    <row r="31" spans="1:22" s="395" customFormat="1" ht="31.5" x14ac:dyDescent="0.25">
      <c r="A31" s="393" t="s">
        <v>308</v>
      </c>
      <c r="B31" s="393"/>
      <c r="C31" s="393"/>
      <c r="D31" s="394" t="s">
        <v>48</v>
      </c>
      <c r="E31" s="916">
        <f>E32+E33+E35+E34</f>
        <v>3370600</v>
      </c>
      <c r="F31" s="916">
        <f t="shared" ref="F31:P31" si="10">F32+F33+F35+F34</f>
        <v>3370600</v>
      </c>
      <c r="G31" s="916">
        <f t="shared" si="10"/>
        <v>1745000</v>
      </c>
      <c r="H31" s="1330">
        <f t="shared" si="10"/>
        <v>143800</v>
      </c>
      <c r="I31" s="1330">
        <f t="shared" si="10"/>
        <v>0</v>
      </c>
      <c r="J31" s="1330">
        <f t="shared" si="10"/>
        <v>205400</v>
      </c>
      <c r="K31" s="1330">
        <f t="shared" si="10"/>
        <v>205400</v>
      </c>
      <c r="L31" s="1330">
        <f t="shared" si="10"/>
        <v>140000</v>
      </c>
      <c r="M31" s="1330">
        <f t="shared" si="10"/>
        <v>0</v>
      </c>
      <c r="N31" s="1330">
        <f t="shared" si="10"/>
        <v>0</v>
      </c>
      <c r="O31" s="1330">
        <f t="shared" si="10"/>
        <v>0</v>
      </c>
      <c r="P31" s="1330">
        <f t="shared" si="10"/>
        <v>0</v>
      </c>
      <c r="Q31" s="1330">
        <f>Q32+Q33+Q35+Q34</f>
        <v>3576000</v>
      </c>
      <c r="R31" s="381">
        <f t="shared" si="2"/>
        <v>3576000</v>
      </c>
      <c r="S31" s="383">
        <f t="shared" si="8"/>
        <v>0</v>
      </c>
      <c r="T31" s="382">
        <f t="shared" si="3"/>
        <v>0</v>
      </c>
      <c r="U31" s="382"/>
      <c r="V31" s="382">
        <f t="shared" si="4"/>
        <v>0</v>
      </c>
    </row>
    <row r="32" spans="1:22" s="386" customFormat="1" ht="31.5" x14ac:dyDescent="0.25">
      <c r="A32" s="387" t="s">
        <v>1208</v>
      </c>
      <c r="B32" s="387" t="s">
        <v>23</v>
      </c>
      <c r="C32" s="387" t="s">
        <v>13</v>
      </c>
      <c r="D32" s="392" t="s">
        <v>306</v>
      </c>
      <c r="E32" s="491">
        <f t="shared" si="7"/>
        <v>2630700</v>
      </c>
      <c r="F32" s="491">
        <v>2630700</v>
      </c>
      <c r="G32" s="491">
        <v>1745000</v>
      </c>
      <c r="H32" s="492">
        <v>143800</v>
      </c>
      <c r="I32" s="492"/>
      <c r="J32" s="492">
        <f>+K32+N32</f>
        <v>205400</v>
      </c>
      <c r="K32" s="492">
        <v>205400</v>
      </c>
      <c r="L32" s="492">
        <v>140000</v>
      </c>
      <c r="M32" s="492"/>
      <c r="N32" s="492"/>
      <c r="O32" s="492"/>
      <c r="P32" s="492"/>
      <c r="Q32" s="492">
        <f>+J32+E32</f>
        <v>2836100</v>
      </c>
      <c r="R32" s="381">
        <f t="shared" si="2"/>
        <v>2836100</v>
      </c>
      <c r="S32" s="383">
        <f t="shared" si="8"/>
        <v>0</v>
      </c>
      <c r="T32" s="382">
        <f t="shared" si="3"/>
        <v>0</v>
      </c>
      <c r="U32" s="382"/>
      <c r="V32" s="382">
        <f t="shared" si="4"/>
        <v>0</v>
      </c>
    </row>
    <row r="33" spans="1:22" s="386" customFormat="1" ht="31.5" x14ac:dyDescent="0.25">
      <c r="A33" s="387" t="s">
        <v>310</v>
      </c>
      <c r="B33" s="387" t="s">
        <v>11</v>
      </c>
      <c r="C33" s="387" t="s">
        <v>14</v>
      </c>
      <c r="D33" s="388" t="s">
        <v>302</v>
      </c>
      <c r="E33" s="491">
        <f>F33+I33</f>
        <v>739900</v>
      </c>
      <c r="F33" s="491">
        <f>887900-148000</f>
        <v>739900</v>
      </c>
      <c r="G33" s="491"/>
      <c r="H33" s="492"/>
      <c r="I33" s="492"/>
      <c r="J33" s="492">
        <f>+K33+N33</f>
        <v>0</v>
      </c>
      <c r="K33" s="492"/>
      <c r="L33" s="492"/>
      <c r="M33" s="492"/>
      <c r="N33" s="492"/>
      <c r="O33" s="492"/>
      <c r="P33" s="492"/>
      <c r="Q33" s="492">
        <f>+J33+E33</f>
        <v>739900</v>
      </c>
      <c r="R33" s="381">
        <f t="shared" si="2"/>
        <v>739900</v>
      </c>
      <c r="S33" s="383">
        <f t="shared" si="8"/>
        <v>0</v>
      </c>
      <c r="T33" s="382">
        <f t="shared" si="3"/>
        <v>0</v>
      </c>
      <c r="U33" s="382"/>
      <c r="V33" s="382">
        <f t="shared" si="4"/>
        <v>0</v>
      </c>
    </row>
    <row r="34" spans="1:22" s="386" customFormat="1" ht="31.5" hidden="1" x14ac:dyDescent="0.25">
      <c r="A34" s="664" t="s">
        <v>842</v>
      </c>
      <c r="B34" s="664" t="s">
        <v>472</v>
      </c>
      <c r="C34" s="664" t="s">
        <v>224</v>
      </c>
      <c r="D34" s="665" t="s">
        <v>122</v>
      </c>
      <c r="E34" s="666">
        <f>F34+I34</f>
        <v>0</v>
      </c>
      <c r="F34" s="666"/>
      <c r="G34" s="666"/>
      <c r="H34" s="666"/>
      <c r="I34" s="666"/>
      <c r="J34" s="666">
        <f>+K34+N34</f>
        <v>0</v>
      </c>
      <c r="K34" s="666"/>
      <c r="L34" s="666"/>
      <c r="M34" s="666"/>
      <c r="N34" s="666"/>
      <c r="O34" s="666"/>
      <c r="P34" s="666"/>
      <c r="Q34" s="666">
        <f>+J34+E34</f>
        <v>0</v>
      </c>
      <c r="R34" s="381">
        <f t="shared" si="2"/>
        <v>0</v>
      </c>
      <c r="S34" s="383"/>
      <c r="T34" s="382">
        <f t="shared" si="3"/>
        <v>0</v>
      </c>
      <c r="U34" s="382"/>
      <c r="V34" s="382">
        <f t="shared" si="4"/>
        <v>0</v>
      </c>
    </row>
    <row r="35" spans="1:22" s="297" customFormat="1" ht="63" hidden="1" x14ac:dyDescent="0.25">
      <c r="A35" s="166" t="s">
        <v>311</v>
      </c>
      <c r="B35" s="166" t="s">
        <v>299</v>
      </c>
      <c r="C35" s="166" t="s">
        <v>11</v>
      </c>
      <c r="D35" s="629" t="s">
        <v>300</v>
      </c>
      <c r="E35" s="144">
        <f t="shared" si="7"/>
        <v>0</v>
      </c>
      <c r="F35" s="144"/>
      <c r="G35" s="144"/>
      <c r="H35" s="144"/>
      <c r="I35" s="144"/>
      <c r="J35" s="144">
        <f>+K35+N35</f>
        <v>0</v>
      </c>
      <c r="K35" s="144"/>
      <c r="L35" s="144"/>
      <c r="M35" s="144"/>
      <c r="N35" s="144"/>
      <c r="O35" s="144"/>
      <c r="P35" s="144"/>
      <c r="Q35" s="144">
        <f>+J35+E35</f>
        <v>0</v>
      </c>
      <c r="R35" s="381">
        <f t="shared" si="2"/>
        <v>0</v>
      </c>
      <c r="S35" s="295">
        <f>R35-Q35</f>
        <v>0</v>
      </c>
      <c r="T35" s="382">
        <f t="shared" si="3"/>
        <v>0</v>
      </c>
      <c r="U35" s="296"/>
      <c r="V35" s="382">
        <f t="shared" si="4"/>
        <v>0</v>
      </c>
    </row>
    <row r="36" spans="1:22" s="384" customFormat="1" ht="47.25" x14ac:dyDescent="0.25">
      <c r="A36" s="393" t="s">
        <v>312</v>
      </c>
      <c r="B36" s="393"/>
      <c r="C36" s="393"/>
      <c r="D36" s="394" t="s">
        <v>1434</v>
      </c>
      <c r="E36" s="916">
        <f>E38+E42+E52+E53+E56+E59+E75+E76+E77+E78+E79+E80+E81+E60+E48+E46+E65+E68+E74+E73+E82+E62+E70+E69</f>
        <v>964940703</v>
      </c>
      <c r="F36" s="916">
        <f t="shared" ref="F36:Q36" si="11">F38+F42+F52+F53+F56+F59+F75+F76+F77+F78+F79+F80+F81+F60+F48+F46+F65+F68+F74+F73+F82+F62+F70+F69</f>
        <v>917481477</v>
      </c>
      <c r="G36" s="916">
        <f t="shared" si="11"/>
        <v>391416046</v>
      </c>
      <c r="H36" s="916">
        <f t="shared" si="11"/>
        <v>52823440</v>
      </c>
      <c r="I36" s="916">
        <f t="shared" si="11"/>
        <v>47459226</v>
      </c>
      <c r="J36" s="916">
        <f t="shared" si="11"/>
        <v>150926376</v>
      </c>
      <c r="K36" s="916">
        <f t="shared" si="11"/>
        <v>54507056</v>
      </c>
      <c r="L36" s="916">
        <f t="shared" si="11"/>
        <v>4515857</v>
      </c>
      <c r="M36" s="916">
        <f t="shared" si="11"/>
        <v>2415431</v>
      </c>
      <c r="N36" s="916">
        <f t="shared" si="11"/>
        <v>96419320</v>
      </c>
      <c r="O36" s="916">
        <f t="shared" si="11"/>
        <v>96002620</v>
      </c>
      <c r="P36" s="916">
        <f t="shared" si="11"/>
        <v>71916906</v>
      </c>
      <c r="Q36" s="916">
        <f t="shared" si="11"/>
        <v>1115867079</v>
      </c>
      <c r="R36" s="381">
        <f t="shared" si="2"/>
        <v>1115867079</v>
      </c>
      <c r="S36" s="383">
        <f>R36-Q36</f>
        <v>0</v>
      </c>
      <c r="T36" s="382">
        <f t="shared" si="3"/>
        <v>-24085714</v>
      </c>
      <c r="U36" s="382"/>
      <c r="V36" s="382">
        <f t="shared" si="4"/>
        <v>-416700</v>
      </c>
    </row>
    <row r="37" spans="1:22" s="384" customFormat="1" ht="47.25" x14ac:dyDescent="0.25">
      <c r="A37" s="393" t="s">
        <v>313</v>
      </c>
      <c r="B37" s="393"/>
      <c r="C37" s="393"/>
      <c r="D37" s="394" t="s">
        <v>1434</v>
      </c>
      <c r="E37" s="916">
        <f>E39+E40+E41+E43+E44+E45+E52+E54+E55+E57+E58+E59+E61+E75+E76+E77+E78+E79+E80+E81+E50+E51+E47+E67+E69+E74+E73+E82+E63+E64+E66+E72+E71+E49</f>
        <v>964940703</v>
      </c>
      <c r="F37" s="916">
        <f t="shared" ref="F37:Q37" si="12">F39+F40+F41+F43+F44+F45+F52+F54+F55+F57+F58+F59+F61+F75+F76+F77+F78+F79+F80+F81+F50+F51+F47+F67+F69+F74+F73+F82+F63+F64+F66+F72+F71+F49</f>
        <v>917481477</v>
      </c>
      <c r="G37" s="916">
        <f t="shared" si="12"/>
        <v>391416046</v>
      </c>
      <c r="H37" s="916">
        <f t="shared" si="12"/>
        <v>52823440</v>
      </c>
      <c r="I37" s="916">
        <f t="shared" si="12"/>
        <v>47459226</v>
      </c>
      <c r="J37" s="916">
        <f t="shared" si="12"/>
        <v>150926376</v>
      </c>
      <c r="K37" s="916">
        <f t="shared" si="12"/>
        <v>54507056</v>
      </c>
      <c r="L37" s="916">
        <f t="shared" si="12"/>
        <v>4515857</v>
      </c>
      <c r="M37" s="916">
        <f t="shared" si="12"/>
        <v>2415431</v>
      </c>
      <c r="N37" s="916">
        <f t="shared" si="12"/>
        <v>96419320</v>
      </c>
      <c r="O37" s="916">
        <f t="shared" si="12"/>
        <v>96002620</v>
      </c>
      <c r="P37" s="916">
        <f t="shared" si="12"/>
        <v>71916906</v>
      </c>
      <c r="Q37" s="916">
        <f t="shared" si="12"/>
        <v>1115867079</v>
      </c>
      <c r="R37" s="381">
        <f t="shared" si="2"/>
        <v>1115867079</v>
      </c>
      <c r="S37" s="383">
        <f>R37-Q37</f>
        <v>0</v>
      </c>
      <c r="T37" s="382">
        <f t="shared" si="3"/>
        <v>-24085714</v>
      </c>
      <c r="U37" s="382"/>
      <c r="V37" s="382">
        <f t="shared" si="4"/>
        <v>-416700</v>
      </c>
    </row>
    <row r="38" spans="1:22" s="386" customFormat="1" ht="31.5" x14ac:dyDescent="0.25">
      <c r="A38" s="387" t="s">
        <v>928</v>
      </c>
      <c r="B38" s="1080">
        <v>1020</v>
      </c>
      <c r="C38" s="1080"/>
      <c r="D38" s="485" t="s">
        <v>1182</v>
      </c>
      <c r="E38" s="491">
        <f>F38+I38</f>
        <v>141391125</v>
      </c>
      <c r="F38" s="491">
        <f t="shared" ref="F38:P38" si="13">F39+F40+F41</f>
        <v>141391125</v>
      </c>
      <c r="G38" s="491">
        <f t="shared" si="13"/>
        <v>66336494</v>
      </c>
      <c r="H38" s="491">
        <f t="shared" si="13"/>
        <v>27070850</v>
      </c>
      <c r="I38" s="491">
        <f t="shared" si="13"/>
        <v>0</v>
      </c>
      <c r="J38" s="492">
        <f t="shared" si="13"/>
        <v>704600</v>
      </c>
      <c r="K38" s="491">
        <f t="shared" si="13"/>
        <v>584400</v>
      </c>
      <c r="L38" s="491">
        <f t="shared" si="13"/>
        <v>67600</v>
      </c>
      <c r="M38" s="491">
        <f t="shared" si="13"/>
        <v>65000</v>
      </c>
      <c r="N38" s="491">
        <f t="shared" si="13"/>
        <v>120200</v>
      </c>
      <c r="O38" s="491">
        <f t="shared" si="13"/>
        <v>99500</v>
      </c>
      <c r="P38" s="491">
        <f t="shared" si="13"/>
        <v>50000</v>
      </c>
      <c r="Q38" s="492">
        <f>+J38+E38</f>
        <v>142095725</v>
      </c>
      <c r="R38" s="381">
        <f t="shared" si="2"/>
        <v>142095725</v>
      </c>
      <c r="S38" s="383"/>
      <c r="T38" s="382">
        <f t="shared" si="3"/>
        <v>-49500</v>
      </c>
      <c r="U38" s="382"/>
      <c r="V38" s="382"/>
    </row>
    <row r="39" spans="1:22" s="386" customFormat="1" ht="56.45" customHeight="1" x14ac:dyDescent="0.25">
      <c r="A39" s="387" t="s">
        <v>1184</v>
      </c>
      <c r="B39" s="1081">
        <v>1021</v>
      </c>
      <c r="C39" s="1082" t="s">
        <v>933</v>
      </c>
      <c r="D39" s="811" t="s">
        <v>1183</v>
      </c>
      <c r="E39" s="491">
        <f t="shared" ref="E39:E51" si="14">F39+I39</f>
        <v>29667700</v>
      </c>
      <c r="F39" s="491">
        <v>29667700</v>
      </c>
      <c r="G39" s="491">
        <f>12005700+52000</f>
        <v>12057700</v>
      </c>
      <c r="H39" s="492">
        <v>7459600</v>
      </c>
      <c r="I39" s="492"/>
      <c r="J39" s="492">
        <f t="shared" ref="J39:J51" si="15">+K39+N39</f>
        <v>368200</v>
      </c>
      <c r="K39" s="492">
        <v>298000</v>
      </c>
      <c r="L39" s="492"/>
      <c r="M39" s="492">
        <v>60000</v>
      </c>
      <c r="N39" s="492">
        <f>20700+49500</f>
        <v>70200</v>
      </c>
      <c r="O39" s="492">
        <v>49500</v>
      </c>
      <c r="P39" s="492"/>
      <c r="Q39" s="492">
        <f t="shared" ref="Q39:Q51" si="16">+J39+E39</f>
        <v>30035900</v>
      </c>
      <c r="R39" s="381">
        <f t="shared" si="2"/>
        <v>30035900</v>
      </c>
      <c r="S39" s="383"/>
      <c r="T39" s="382"/>
      <c r="U39" s="382"/>
      <c r="V39" s="382"/>
    </row>
    <row r="40" spans="1:22" s="386" customFormat="1" ht="78.75" x14ac:dyDescent="0.25">
      <c r="A40" s="387" t="s">
        <v>1185</v>
      </c>
      <c r="B40" s="1081">
        <v>1022</v>
      </c>
      <c r="C40" s="1082" t="s">
        <v>16</v>
      </c>
      <c r="D40" s="811" t="s">
        <v>930</v>
      </c>
      <c r="E40" s="491">
        <f t="shared" si="14"/>
        <v>90390625</v>
      </c>
      <c r="F40" s="491">
        <v>90390625</v>
      </c>
      <c r="G40" s="491">
        <f>46158700+23394</f>
        <v>46182094</v>
      </c>
      <c r="H40" s="492">
        <v>14791850</v>
      </c>
      <c r="I40" s="492"/>
      <c r="J40" s="54">
        <f>+K40+N40</f>
        <v>335700</v>
      </c>
      <c r="K40" s="54">
        <v>285700</v>
      </c>
      <c r="L40" s="54">
        <v>67600</v>
      </c>
      <c r="M40" s="54">
        <v>5000</v>
      </c>
      <c r="N40" s="54">
        <v>50000</v>
      </c>
      <c r="O40" s="54">
        <v>50000</v>
      </c>
      <c r="P40" s="54">
        <v>50000</v>
      </c>
      <c r="Q40" s="492">
        <f t="shared" si="16"/>
        <v>90726325</v>
      </c>
      <c r="R40" s="381">
        <f t="shared" si="2"/>
        <v>90726325</v>
      </c>
      <c r="S40" s="383"/>
      <c r="T40" s="382"/>
      <c r="U40" s="382"/>
      <c r="V40" s="382"/>
    </row>
    <row r="41" spans="1:22" s="386" customFormat="1" ht="47.25" x14ac:dyDescent="0.25">
      <c r="A41" s="387" t="s">
        <v>1186</v>
      </c>
      <c r="B41" s="1081">
        <v>1023</v>
      </c>
      <c r="C41" s="1082" t="s">
        <v>16</v>
      </c>
      <c r="D41" s="811" t="s">
        <v>931</v>
      </c>
      <c r="E41" s="491">
        <f t="shared" si="14"/>
        <v>21332800</v>
      </c>
      <c r="F41" s="491">
        <v>21332800</v>
      </c>
      <c r="G41" s="491">
        <v>8096700</v>
      </c>
      <c r="H41" s="492">
        <v>4819400</v>
      </c>
      <c r="I41" s="492"/>
      <c r="J41" s="492">
        <f t="shared" si="15"/>
        <v>700</v>
      </c>
      <c r="K41" s="492">
        <v>700</v>
      </c>
      <c r="L41" s="492"/>
      <c r="M41" s="492"/>
      <c r="N41" s="492"/>
      <c r="O41" s="492"/>
      <c r="P41" s="492"/>
      <c r="Q41" s="492">
        <f t="shared" si="16"/>
        <v>21333500</v>
      </c>
      <c r="R41" s="381">
        <f t="shared" si="2"/>
        <v>21333500</v>
      </c>
      <c r="S41" s="383"/>
      <c r="T41" s="382"/>
      <c r="U41" s="382"/>
      <c r="V41" s="382"/>
    </row>
    <row r="42" spans="1:22" s="297" customFormat="1" ht="31.5" x14ac:dyDescent="0.25">
      <c r="A42" s="44" t="s">
        <v>929</v>
      </c>
      <c r="B42" s="44" t="s">
        <v>134</v>
      </c>
      <c r="C42" s="44"/>
      <c r="D42" s="42" t="s">
        <v>1207</v>
      </c>
      <c r="E42" s="205">
        <f t="shared" si="14"/>
        <v>163361250</v>
      </c>
      <c r="F42" s="205">
        <f>F43+F44+F45</f>
        <v>163361250</v>
      </c>
      <c r="G42" s="205">
        <f>G43+G44+G45</f>
        <v>134659402</v>
      </c>
      <c r="H42" s="54">
        <f>H43+H44+H45</f>
        <v>0</v>
      </c>
      <c r="I42" s="54">
        <f>I43+I44+I45</f>
        <v>0</v>
      </c>
      <c r="J42" s="54">
        <f t="shared" si="15"/>
        <v>0</v>
      </c>
      <c r="K42" s="54">
        <f t="shared" ref="K42:P42" si="17">K43+K44+K45</f>
        <v>0</v>
      </c>
      <c r="L42" s="54">
        <f t="shared" si="17"/>
        <v>0</v>
      </c>
      <c r="M42" s="54">
        <f t="shared" si="17"/>
        <v>0</v>
      </c>
      <c r="N42" s="54">
        <f t="shared" si="17"/>
        <v>0</v>
      </c>
      <c r="O42" s="54">
        <f t="shared" si="17"/>
        <v>0</v>
      </c>
      <c r="P42" s="54">
        <f t="shared" si="17"/>
        <v>0</v>
      </c>
      <c r="Q42" s="54">
        <f t="shared" si="16"/>
        <v>163361250</v>
      </c>
      <c r="R42" s="381">
        <f t="shared" si="2"/>
        <v>163361250</v>
      </c>
      <c r="S42" s="295"/>
      <c r="T42" s="296">
        <f>P42-O42</f>
        <v>0</v>
      </c>
      <c r="U42" s="296"/>
      <c r="V42" s="296"/>
    </row>
    <row r="43" spans="1:22" s="386" customFormat="1" ht="31.5" x14ac:dyDescent="0.25">
      <c r="A43" s="387" t="s">
        <v>1187</v>
      </c>
      <c r="B43" s="1081">
        <v>1031</v>
      </c>
      <c r="C43" s="1082" t="s">
        <v>933</v>
      </c>
      <c r="D43" s="811" t="s">
        <v>1183</v>
      </c>
      <c r="E43" s="491">
        <f t="shared" si="14"/>
        <v>21922900</v>
      </c>
      <c r="F43" s="491">
        <v>21922900</v>
      </c>
      <c r="G43" s="491">
        <v>18021900</v>
      </c>
      <c r="H43" s="492"/>
      <c r="I43" s="492"/>
      <c r="J43" s="492">
        <f t="shared" si="15"/>
        <v>0</v>
      </c>
      <c r="K43" s="492"/>
      <c r="L43" s="492"/>
      <c r="M43" s="492"/>
      <c r="N43" s="492"/>
      <c r="O43" s="492"/>
      <c r="P43" s="492"/>
      <c r="Q43" s="492">
        <f t="shared" si="16"/>
        <v>21922900</v>
      </c>
      <c r="R43" s="381">
        <f t="shared" si="2"/>
        <v>21922900</v>
      </c>
      <c r="S43" s="383"/>
      <c r="T43" s="382"/>
      <c r="U43" s="382"/>
      <c r="V43" s="382"/>
    </row>
    <row r="44" spans="1:22" s="386" customFormat="1" ht="78.75" x14ac:dyDescent="0.25">
      <c r="A44" s="387" t="s">
        <v>1188</v>
      </c>
      <c r="B44" s="1081">
        <v>1032</v>
      </c>
      <c r="C44" s="1082" t="s">
        <v>16</v>
      </c>
      <c r="D44" s="811" t="s">
        <v>930</v>
      </c>
      <c r="E44" s="491">
        <f t="shared" si="14"/>
        <v>128813000</v>
      </c>
      <c r="F44" s="491">
        <v>128813000</v>
      </c>
      <c r="G44" s="491">
        <v>106266700</v>
      </c>
      <c r="H44" s="492"/>
      <c r="I44" s="492"/>
      <c r="J44" s="492">
        <f t="shared" si="15"/>
        <v>0</v>
      </c>
      <c r="K44" s="492"/>
      <c r="L44" s="492"/>
      <c r="M44" s="492"/>
      <c r="N44" s="492"/>
      <c r="O44" s="492"/>
      <c r="P44" s="492"/>
      <c r="Q44" s="492">
        <f t="shared" si="16"/>
        <v>128813000</v>
      </c>
      <c r="R44" s="381">
        <f t="shared" si="2"/>
        <v>128813000</v>
      </c>
      <c r="S44" s="383"/>
      <c r="T44" s="382"/>
      <c r="U44" s="382"/>
      <c r="V44" s="382"/>
    </row>
    <row r="45" spans="1:22" s="386" customFormat="1" ht="47.25" x14ac:dyDescent="0.25">
      <c r="A45" s="387" t="s">
        <v>1189</v>
      </c>
      <c r="B45" s="1081">
        <v>1033</v>
      </c>
      <c r="C45" s="1082" t="s">
        <v>16</v>
      </c>
      <c r="D45" s="811" t="s">
        <v>931</v>
      </c>
      <c r="E45" s="491">
        <f t="shared" si="14"/>
        <v>12625350</v>
      </c>
      <c r="F45" s="491">
        <v>12625350</v>
      </c>
      <c r="G45" s="491">
        <v>10370802</v>
      </c>
      <c r="H45" s="492"/>
      <c r="I45" s="492"/>
      <c r="J45" s="492">
        <f t="shared" si="15"/>
        <v>0</v>
      </c>
      <c r="K45" s="492"/>
      <c r="L45" s="492"/>
      <c r="M45" s="492"/>
      <c r="N45" s="492"/>
      <c r="O45" s="492"/>
      <c r="P45" s="492"/>
      <c r="Q45" s="492">
        <f t="shared" si="16"/>
        <v>12625350</v>
      </c>
      <c r="R45" s="381">
        <f t="shared" si="2"/>
        <v>12625350</v>
      </c>
      <c r="S45" s="383"/>
      <c r="T45" s="382"/>
      <c r="U45" s="382"/>
      <c r="V45" s="382"/>
    </row>
    <row r="46" spans="1:22" s="386" customFormat="1" ht="94.5" x14ac:dyDescent="0.25">
      <c r="A46" s="387" t="s">
        <v>1439</v>
      </c>
      <c r="B46" s="1081">
        <v>1040</v>
      </c>
      <c r="C46" s="1082"/>
      <c r="D46" s="811" t="s">
        <v>1441</v>
      </c>
      <c r="E46" s="491">
        <f t="shared" si="14"/>
        <v>0</v>
      </c>
      <c r="F46" s="491">
        <f>F47</f>
        <v>0</v>
      </c>
      <c r="G46" s="491">
        <f>G47</f>
        <v>0</v>
      </c>
      <c r="H46" s="491">
        <f>H47</f>
        <v>0</v>
      </c>
      <c r="I46" s="491">
        <f>I47</f>
        <v>0</v>
      </c>
      <c r="J46" s="492">
        <f t="shared" si="15"/>
        <v>18170334</v>
      </c>
      <c r="K46" s="492">
        <f t="shared" ref="K46:P46" si="18">K47</f>
        <v>0</v>
      </c>
      <c r="L46" s="492">
        <f t="shared" si="18"/>
        <v>0</v>
      </c>
      <c r="M46" s="492">
        <f t="shared" si="18"/>
        <v>0</v>
      </c>
      <c r="N46" s="492">
        <f t="shared" si="18"/>
        <v>18170334</v>
      </c>
      <c r="O46" s="492">
        <f t="shared" si="18"/>
        <v>18170334</v>
      </c>
      <c r="P46" s="492">
        <f t="shared" si="18"/>
        <v>18170334</v>
      </c>
      <c r="Q46" s="492">
        <f t="shared" si="16"/>
        <v>18170334</v>
      </c>
      <c r="R46" s="381">
        <f t="shared" si="2"/>
        <v>18170334</v>
      </c>
      <c r="S46" s="383"/>
      <c r="T46" s="382"/>
      <c r="U46" s="382"/>
      <c r="V46" s="382"/>
    </row>
    <row r="47" spans="1:22" s="386" customFormat="1" ht="15.75" x14ac:dyDescent="0.25">
      <c r="A47" s="387" t="s">
        <v>1440</v>
      </c>
      <c r="B47" s="1081">
        <v>1046</v>
      </c>
      <c r="C47" s="1082" t="s">
        <v>231</v>
      </c>
      <c r="D47" s="811" t="s">
        <v>1442</v>
      </c>
      <c r="E47" s="491">
        <f t="shared" si="14"/>
        <v>0</v>
      </c>
      <c r="F47" s="491"/>
      <c r="G47" s="491"/>
      <c r="H47" s="492"/>
      <c r="I47" s="492"/>
      <c r="J47" s="492">
        <f t="shared" si="15"/>
        <v>18170334</v>
      </c>
      <c r="K47" s="492"/>
      <c r="L47" s="492"/>
      <c r="M47" s="492"/>
      <c r="N47" s="492">
        <v>18170334</v>
      </c>
      <c r="O47" s="492">
        <v>18170334</v>
      </c>
      <c r="P47" s="492">
        <v>18170334</v>
      </c>
      <c r="Q47" s="492">
        <f t="shared" si="16"/>
        <v>18170334</v>
      </c>
      <c r="R47" s="381">
        <f t="shared" si="2"/>
        <v>18170334</v>
      </c>
      <c r="S47" s="383"/>
      <c r="T47" s="382"/>
      <c r="U47" s="382"/>
      <c r="V47" s="382"/>
    </row>
    <row r="48" spans="1:22" s="386" customFormat="1" ht="141.75" x14ac:dyDescent="0.25">
      <c r="A48" s="387" t="s">
        <v>1435</v>
      </c>
      <c r="B48" s="1080">
        <v>1060</v>
      </c>
      <c r="C48" s="1411"/>
      <c r="D48" s="485" t="s">
        <v>1436</v>
      </c>
      <c r="E48" s="491">
        <f t="shared" si="14"/>
        <v>950030</v>
      </c>
      <c r="F48" s="491">
        <f>SUM(F49:F51)</f>
        <v>950030</v>
      </c>
      <c r="G48" s="491">
        <f>SUM(G49:G51)</f>
        <v>0</v>
      </c>
      <c r="H48" s="491">
        <f>SUM(H49:H51)</f>
        <v>0</v>
      </c>
      <c r="I48" s="491">
        <f>SUM(I49:I51)</f>
        <v>0</v>
      </c>
      <c r="J48" s="492">
        <f t="shared" si="15"/>
        <v>9790600</v>
      </c>
      <c r="K48" s="491">
        <f t="shared" ref="K48:P48" si="19">SUM(K49:K51)</f>
        <v>0</v>
      </c>
      <c r="L48" s="491">
        <f t="shared" si="19"/>
        <v>0</v>
      </c>
      <c r="M48" s="491">
        <f t="shared" si="19"/>
        <v>0</v>
      </c>
      <c r="N48" s="491">
        <f t="shared" si="19"/>
        <v>9790600</v>
      </c>
      <c r="O48" s="491">
        <f t="shared" si="19"/>
        <v>9790600</v>
      </c>
      <c r="P48" s="491">
        <f t="shared" si="19"/>
        <v>9790600</v>
      </c>
      <c r="Q48" s="492">
        <f>+J48+E48</f>
        <v>10740630</v>
      </c>
      <c r="R48" s="381">
        <f t="shared" si="2"/>
        <v>10740630</v>
      </c>
      <c r="S48" s="383"/>
      <c r="T48" s="382"/>
      <c r="U48" s="382"/>
      <c r="V48" s="382"/>
    </row>
    <row r="49" spans="1:22" s="386" customFormat="1" ht="31.5" x14ac:dyDescent="0.25">
      <c r="A49" s="387" t="s">
        <v>2081</v>
      </c>
      <c r="B49" s="1080">
        <v>1061</v>
      </c>
      <c r="C49" s="1411" t="s">
        <v>933</v>
      </c>
      <c r="D49" s="485" t="s">
        <v>2082</v>
      </c>
      <c r="E49" s="491">
        <f t="shared" si="14"/>
        <v>346930</v>
      </c>
      <c r="F49" s="491">
        <v>346930</v>
      </c>
      <c r="G49" s="491"/>
      <c r="H49" s="492"/>
      <c r="I49" s="492"/>
      <c r="J49" s="492">
        <f t="shared" si="15"/>
        <v>8000000</v>
      </c>
      <c r="K49" s="492"/>
      <c r="L49" s="492"/>
      <c r="M49" s="492"/>
      <c r="N49" s="492">
        <v>8000000</v>
      </c>
      <c r="O49" s="492">
        <v>8000000</v>
      </c>
      <c r="P49" s="492">
        <v>8000000</v>
      </c>
      <c r="Q49" s="492">
        <f>+J49+E49</f>
        <v>8346930</v>
      </c>
      <c r="R49" s="381">
        <f t="shared" si="2"/>
        <v>8346930</v>
      </c>
      <c r="S49" s="383"/>
      <c r="T49" s="382"/>
      <c r="U49" s="382"/>
      <c r="V49" s="382"/>
    </row>
    <row r="50" spans="1:22" s="386" customFormat="1" ht="78.75" x14ac:dyDescent="0.25">
      <c r="A50" s="387" t="s">
        <v>1437</v>
      </c>
      <c r="B50" s="1081">
        <v>1062</v>
      </c>
      <c r="C50" s="1082" t="s">
        <v>16</v>
      </c>
      <c r="D50" s="811" t="s">
        <v>930</v>
      </c>
      <c r="E50" s="491">
        <f t="shared" si="14"/>
        <v>116300</v>
      </c>
      <c r="F50" s="491">
        <v>116300</v>
      </c>
      <c r="G50" s="491"/>
      <c r="H50" s="492"/>
      <c r="I50" s="492"/>
      <c r="J50" s="492">
        <f t="shared" si="15"/>
        <v>1490600</v>
      </c>
      <c r="K50" s="492"/>
      <c r="L50" s="492"/>
      <c r="M50" s="492"/>
      <c r="N50" s="492">
        <v>1490600</v>
      </c>
      <c r="O50" s="492">
        <v>1490600</v>
      </c>
      <c r="P50" s="492">
        <v>1490600</v>
      </c>
      <c r="Q50" s="492">
        <f t="shared" si="16"/>
        <v>1606900</v>
      </c>
      <c r="R50" s="381">
        <f t="shared" si="2"/>
        <v>1606900</v>
      </c>
      <c r="S50" s="383"/>
      <c r="T50" s="382"/>
      <c r="U50" s="382"/>
      <c r="V50" s="382"/>
    </row>
    <row r="51" spans="1:22" s="386" customFormat="1" ht="45.6" customHeight="1" x14ac:dyDescent="0.25">
      <c r="A51" s="387" t="s">
        <v>1438</v>
      </c>
      <c r="B51" s="1081">
        <v>1063</v>
      </c>
      <c r="C51" s="1082" t="s">
        <v>16</v>
      </c>
      <c r="D51" s="811" t="s">
        <v>931</v>
      </c>
      <c r="E51" s="491">
        <f t="shared" si="14"/>
        <v>486800</v>
      </c>
      <c r="F51" s="491">
        <v>486800</v>
      </c>
      <c r="G51" s="491"/>
      <c r="H51" s="492"/>
      <c r="I51" s="492"/>
      <c r="J51" s="492">
        <f t="shared" si="15"/>
        <v>300000</v>
      </c>
      <c r="K51" s="492"/>
      <c r="L51" s="492"/>
      <c r="M51" s="492"/>
      <c r="N51" s="492">
        <v>300000</v>
      </c>
      <c r="O51" s="492">
        <v>300000</v>
      </c>
      <c r="P51" s="492">
        <v>300000</v>
      </c>
      <c r="Q51" s="492">
        <f t="shared" si="16"/>
        <v>786800</v>
      </c>
      <c r="R51" s="381">
        <f t="shared" si="2"/>
        <v>786800</v>
      </c>
      <c r="S51" s="383"/>
      <c r="T51" s="382"/>
      <c r="U51" s="382"/>
      <c r="V51" s="382"/>
    </row>
    <row r="52" spans="1:22" s="386" customFormat="1" ht="47.25" x14ac:dyDescent="0.25">
      <c r="A52" s="387" t="s">
        <v>314</v>
      </c>
      <c r="B52" s="387" t="s">
        <v>18</v>
      </c>
      <c r="C52" s="387" t="s">
        <v>21</v>
      </c>
      <c r="D52" s="392" t="s">
        <v>938</v>
      </c>
      <c r="E52" s="491">
        <f t="shared" ref="E52:E82" si="20">F52+I52</f>
        <v>24475500</v>
      </c>
      <c r="F52" s="491">
        <f>23950500+525000</f>
        <v>24475500</v>
      </c>
      <c r="G52" s="491">
        <v>17326200</v>
      </c>
      <c r="H52" s="492">
        <f>1313100+650400</f>
        <v>1963500</v>
      </c>
      <c r="I52" s="492"/>
      <c r="J52" s="492">
        <f t="shared" ref="J52:J82" si="21">+K52+N52</f>
        <v>270400</v>
      </c>
      <c r="K52" s="492">
        <v>179400</v>
      </c>
      <c r="L52" s="492"/>
      <c r="M52" s="492">
        <v>6700</v>
      </c>
      <c r="N52" s="492">
        <v>91000</v>
      </c>
      <c r="O52" s="492"/>
      <c r="P52" s="492"/>
      <c r="Q52" s="492">
        <f t="shared" ref="Q52:Q59" si="22">+J52+E52</f>
        <v>24745900</v>
      </c>
      <c r="R52" s="381">
        <f t="shared" si="2"/>
        <v>24745900</v>
      </c>
      <c r="S52" s="383">
        <f>R52-Q52</f>
        <v>0</v>
      </c>
      <c r="T52" s="382">
        <f>P52-O52</f>
        <v>0</v>
      </c>
      <c r="U52" s="382"/>
      <c r="V52" s="382">
        <f>O52-N52</f>
        <v>-91000</v>
      </c>
    </row>
    <row r="53" spans="1:22" s="386" customFormat="1" ht="47.25" x14ac:dyDescent="0.25">
      <c r="A53" s="387" t="s">
        <v>315</v>
      </c>
      <c r="B53" s="387" t="s">
        <v>9</v>
      </c>
      <c r="C53" s="387"/>
      <c r="D53" s="392" t="s">
        <v>937</v>
      </c>
      <c r="E53" s="491">
        <f t="shared" si="20"/>
        <v>247422900</v>
      </c>
      <c r="F53" s="491">
        <f>F54+F55</f>
        <v>247422900</v>
      </c>
      <c r="G53" s="491">
        <f>G54+G55</f>
        <v>152398600</v>
      </c>
      <c r="H53" s="491">
        <f>H54+H55</f>
        <v>22888690</v>
      </c>
      <c r="I53" s="491">
        <f>I54+I55</f>
        <v>0</v>
      </c>
      <c r="J53" s="54">
        <f>+K53+N53</f>
        <v>12555907</v>
      </c>
      <c r="K53" s="492">
        <f t="shared" ref="K53:P53" si="23">K54+K55</f>
        <v>12076907</v>
      </c>
      <c r="L53" s="492">
        <f t="shared" si="23"/>
        <v>3980357</v>
      </c>
      <c r="M53" s="492">
        <f t="shared" si="23"/>
        <v>2343731</v>
      </c>
      <c r="N53" s="492">
        <f t="shared" si="23"/>
        <v>479000</v>
      </c>
      <c r="O53" s="492">
        <f t="shared" si="23"/>
        <v>339000</v>
      </c>
      <c r="P53" s="492">
        <f t="shared" si="23"/>
        <v>339000</v>
      </c>
      <c r="Q53" s="492">
        <f t="shared" si="22"/>
        <v>259978807</v>
      </c>
      <c r="R53" s="381">
        <f t="shared" si="2"/>
        <v>259978807</v>
      </c>
      <c r="S53" s="383">
        <f>R53-Q53</f>
        <v>0</v>
      </c>
      <c r="T53" s="382">
        <f>P53-O53</f>
        <v>0</v>
      </c>
      <c r="U53" s="382"/>
      <c r="V53" s="382">
        <f>O53-N53</f>
        <v>-140000</v>
      </c>
    </row>
    <row r="54" spans="1:22" s="386" customFormat="1" ht="63" x14ac:dyDescent="0.25">
      <c r="A54" s="387" t="s">
        <v>1192</v>
      </c>
      <c r="B54" s="1081">
        <v>1091</v>
      </c>
      <c r="C54" s="387" t="s">
        <v>22</v>
      </c>
      <c r="D54" s="811" t="s">
        <v>1190</v>
      </c>
      <c r="E54" s="491">
        <f t="shared" si="20"/>
        <v>216283500</v>
      </c>
      <c r="F54" s="491">
        <v>216283500</v>
      </c>
      <c r="G54" s="491">
        <v>126797200</v>
      </c>
      <c r="H54" s="492">
        <v>22888690</v>
      </c>
      <c r="I54" s="492"/>
      <c r="J54" s="54">
        <f>+K54+N54</f>
        <v>12555907</v>
      </c>
      <c r="K54" s="54">
        <v>12076907</v>
      </c>
      <c r="L54" s="54">
        <v>3980357</v>
      </c>
      <c r="M54" s="54">
        <v>2343731</v>
      </c>
      <c r="N54" s="54">
        <v>479000</v>
      </c>
      <c r="O54" s="54">
        <v>339000</v>
      </c>
      <c r="P54" s="54">
        <v>339000</v>
      </c>
      <c r="Q54" s="492">
        <f t="shared" si="22"/>
        <v>228839407</v>
      </c>
      <c r="R54" s="381">
        <f t="shared" si="2"/>
        <v>228839407</v>
      </c>
      <c r="S54" s="383"/>
      <c r="T54" s="382"/>
      <c r="U54" s="382"/>
      <c r="V54" s="382"/>
    </row>
    <row r="55" spans="1:22" s="386" customFormat="1" ht="63" x14ac:dyDescent="0.25">
      <c r="A55" s="387" t="s">
        <v>1193</v>
      </c>
      <c r="B55" s="1081">
        <v>1092</v>
      </c>
      <c r="C55" s="611" t="s">
        <v>22</v>
      </c>
      <c r="D55" s="811" t="s">
        <v>1191</v>
      </c>
      <c r="E55" s="491">
        <f t="shared" si="20"/>
        <v>31139400</v>
      </c>
      <c r="F55" s="491">
        <v>31139400</v>
      </c>
      <c r="G55" s="491">
        <v>25601400</v>
      </c>
      <c r="H55" s="492"/>
      <c r="I55" s="492"/>
      <c r="J55" s="492">
        <f t="shared" si="21"/>
        <v>0</v>
      </c>
      <c r="K55" s="492"/>
      <c r="L55" s="492"/>
      <c r="M55" s="492"/>
      <c r="N55" s="492"/>
      <c r="O55" s="492"/>
      <c r="P55" s="492"/>
      <c r="Q55" s="492">
        <f t="shared" si="22"/>
        <v>31139400</v>
      </c>
      <c r="R55" s="381">
        <f t="shared" si="2"/>
        <v>31139400</v>
      </c>
      <c r="S55" s="383"/>
      <c r="T55" s="382"/>
      <c r="U55" s="382"/>
      <c r="V55" s="382"/>
    </row>
    <row r="56" spans="1:22" s="386" customFormat="1" ht="31.5" x14ac:dyDescent="0.25">
      <c r="A56" s="387" t="s">
        <v>1194</v>
      </c>
      <c r="B56" s="387" t="s">
        <v>1215</v>
      </c>
      <c r="C56" s="387"/>
      <c r="D56" s="392" t="s">
        <v>932</v>
      </c>
      <c r="E56" s="491">
        <f t="shared" si="20"/>
        <v>227405890</v>
      </c>
      <c r="F56" s="491">
        <f>F57+F58</f>
        <v>227405890</v>
      </c>
      <c r="G56" s="491">
        <f>G57+G58</f>
        <v>0</v>
      </c>
      <c r="H56" s="491">
        <f>H57+H58</f>
        <v>0</v>
      </c>
      <c r="I56" s="491">
        <f>I57+I58</f>
        <v>0</v>
      </c>
      <c r="J56" s="492">
        <f t="shared" si="21"/>
        <v>42084469</v>
      </c>
      <c r="K56" s="491">
        <f t="shared" ref="K56:P56" si="24">K57+K58</f>
        <v>40898249</v>
      </c>
      <c r="L56" s="491">
        <f t="shared" si="24"/>
        <v>0</v>
      </c>
      <c r="M56" s="491">
        <f t="shared" si="24"/>
        <v>0</v>
      </c>
      <c r="N56" s="491">
        <f t="shared" si="24"/>
        <v>1186220</v>
      </c>
      <c r="O56" s="491">
        <f t="shared" si="24"/>
        <v>1021220</v>
      </c>
      <c r="P56" s="491">
        <f t="shared" si="24"/>
        <v>867510</v>
      </c>
      <c r="Q56" s="492">
        <f t="shared" si="22"/>
        <v>269490359</v>
      </c>
      <c r="R56" s="381">
        <f t="shared" si="2"/>
        <v>269490359</v>
      </c>
      <c r="S56" s="383">
        <f>R56-Q56</f>
        <v>0</v>
      </c>
      <c r="T56" s="382">
        <f>P56-O56</f>
        <v>-153710</v>
      </c>
      <c r="U56" s="382"/>
      <c r="V56" s="382">
        <f>O56-N56</f>
        <v>-165000</v>
      </c>
    </row>
    <row r="57" spans="1:22" s="386" customFormat="1" ht="47.25" x14ac:dyDescent="0.25">
      <c r="A57" s="387" t="s">
        <v>1197</v>
      </c>
      <c r="B57" s="1081">
        <v>1101</v>
      </c>
      <c r="C57" s="387" t="s">
        <v>24</v>
      </c>
      <c r="D57" s="811" t="s">
        <v>1195</v>
      </c>
      <c r="E57" s="491">
        <f t="shared" si="20"/>
        <v>197375390</v>
      </c>
      <c r="F57" s="491">
        <v>197375390</v>
      </c>
      <c r="G57" s="491"/>
      <c r="H57" s="492"/>
      <c r="I57" s="492"/>
      <c r="J57" s="492">
        <f>+K57+N57</f>
        <v>42084469</v>
      </c>
      <c r="K57" s="492">
        <v>40898249</v>
      </c>
      <c r="L57" s="492"/>
      <c r="M57" s="492"/>
      <c r="N57" s="492">
        <f>1332510-146290</f>
        <v>1186220</v>
      </c>
      <c r="O57" s="492">
        <f>1167510-146290</f>
        <v>1021220</v>
      </c>
      <c r="P57" s="492">
        <v>867510</v>
      </c>
      <c r="Q57" s="492">
        <f t="shared" si="22"/>
        <v>239459859</v>
      </c>
      <c r="R57" s="381">
        <f t="shared" si="2"/>
        <v>239459859</v>
      </c>
      <c r="S57" s="383"/>
      <c r="T57" s="382"/>
      <c r="U57" s="382"/>
      <c r="V57" s="382"/>
    </row>
    <row r="58" spans="1:22" s="386" customFormat="1" ht="47.25" x14ac:dyDescent="0.25">
      <c r="A58" s="387" t="s">
        <v>1198</v>
      </c>
      <c r="B58" s="1081">
        <v>1102</v>
      </c>
      <c r="C58" s="387" t="s">
        <v>24</v>
      </c>
      <c r="D58" s="811" t="s">
        <v>1196</v>
      </c>
      <c r="E58" s="491">
        <f t="shared" si="20"/>
        <v>30030500</v>
      </c>
      <c r="F58" s="491">
        <v>30030500</v>
      </c>
      <c r="G58" s="491"/>
      <c r="H58" s="492"/>
      <c r="I58" s="492"/>
      <c r="J58" s="492">
        <f t="shared" si="21"/>
        <v>0</v>
      </c>
      <c r="K58" s="492"/>
      <c r="L58" s="492"/>
      <c r="M58" s="492"/>
      <c r="N58" s="492"/>
      <c r="O58" s="492"/>
      <c r="P58" s="492"/>
      <c r="Q58" s="492">
        <f t="shared" si="22"/>
        <v>30030500</v>
      </c>
      <c r="R58" s="381">
        <f t="shared" si="2"/>
        <v>30030500</v>
      </c>
      <c r="S58" s="383"/>
      <c r="T58" s="382"/>
      <c r="U58" s="382"/>
      <c r="V58" s="382"/>
    </row>
    <row r="59" spans="1:22" s="386" customFormat="1" ht="31.5" x14ac:dyDescent="0.25">
      <c r="A59" s="387" t="s">
        <v>316</v>
      </c>
      <c r="B59" s="387" t="s">
        <v>23</v>
      </c>
      <c r="C59" s="387" t="s">
        <v>13</v>
      </c>
      <c r="D59" s="392" t="s">
        <v>306</v>
      </c>
      <c r="E59" s="491">
        <f t="shared" si="20"/>
        <v>23285400</v>
      </c>
      <c r="F59" s="491">
        <v>23285400</v>
      </c>
      <c r="G59" s="491">
        <v>17538000</v>
      </c>
      <c r="H59" s="492">
        <v>900400</v>
      </c>
      <c r="I59" s="492"/>
      <c r="J59" s="492">
        <f t="shared" si="21"/>
        <v>768100</v>
      </c>
      <c r="K59" s="492">
        <v>768100</v>
      </c>
      <c r="L59" s="492">
        <v>467900</v>
      </c>
      <c r="M59" s="492"/>
      <c r="N59" s="492"/>
      <c r="O59" s="492"/>
      <c r="P59" s="492"/>
      <c r="Q59" s="492">
        <f t="shared" si="22"/>
        <v>24053500</v>
      </c>
      <c r="R59" s="381">
        <f t="shared" si="2"/>
        <v>24053500</v>
      </c>
      <c r="S59" s="383">
        <f>R59-Q59</f>
        <v>0</v>
      </c>
      <c r="T59" s="382">
        <f>P59-O59</f>
        <v>0</v>
      </c>
      <c r="U59" s="382"/>
      <c r="V59" s="382">
        <f>O59-N59</f>
        <v>0</v>
      </c>
    </row>
    <row r="60" spans="1:22" s="397" customFormat="1" ht="31.5" x14ac:dyDescent="0.25">
      <c r="A60" s="387" t="s">
        <v>317</v>
      </c>
      <c r="B60" s="387" t="s">
        <v>12</v>
      </c>
      <c r="C60" s="387"/>
      <c r="D60" s="392" t="s">
        <v>1388</v>
      </c>
      <c r="E60" s="492">
        <f t="shared" si="20"/>
        <v>1024300</v>
      </c>
      <c r="F60" s="492">
        <f>F61</f>
        <v>1024300</v>
      </c>
      <c r="G60" s="492">
        <f>G61</f>
        <v>278300</v>
      </c>
      <c r="H60" s="492">
        <f>H61</f>
        <v>0</v>
      </c>
      <c r="I60" s="492">
        <f>I61</f>
        <v>0</v>
      </c>
      <c r="J60" s="492">
        <f t="shared" si="21"/>
        <v>8803700</v>
      </c>
      <c r="K60" s="492">
        <f t="shared" ref="K60:Q60" si="25">K61</f>
        <v>0</v>
      </c>
      <c r="L60" s="492">
        <f t="shared" si="25"/>
        <v>0</v>
      </c>
      <c r="M60" s="492">
        <f t="shared" si="25"/>
        <v>0</v>
      </c>
      <c r="N60" s="492">
        <f t="shared" si="25"/>
        <v>8803700</v>
      </c>
      <c r="O60" s="492">
        <f t="shared" si="25"/>
        <v>8803700</v>
      </c>
      <c r="P60" s="492">
        <f t="shared" si="25"/>
        <v>0</v>
      </c>
      <c r="Q60" s="492">
        <f t="shared" si="25"/>
        <v>9828000</v>
      </c>
      <c r="R60" s="381">
        <f t="shared" si="2"/>
        <v>9828000</v>
      </c>
      <c r="S60" s="383"/>
      <c r="T60" s="382">
        <f>P60-O60</f>
        <v>-8803700</v>
      </c>
      <c r="U60" s="382"/>
      <c r="V60" s="382">
        <f>O60-N60</f>
        <v>0</v>
      </c>
    </row>
    <row r="61" spans="1:22" s="386" customFormat="1" ht="15.75" x14ac:dyDescent="0.25">
      <c r="A61" s="387" t="s">
        <v>1199</v>
      </c>
      <c r="B61" s="1083">
        <v>1142</v>
      </c>
      <c r="C61" s="387" t="s">
        <v>231</v>
      </c>
      <c r="D61" s="912" t="s">
        <v>320</v>
      </c>
      <c r="E61" s="492">
        <f t="shared" si="20"/>
        <v>1024300</v>
      </c>
      <c r="F61" s="491">
        <f>1407000-382700</f>
        <v>1024300</v>
      </c>
      <c r="G61" s="491">
        <f>553800-275500</f>
        <v>278300</v>
      </c>
      <c r="H61" s="492"/>
      <c r="I61" s="492"/>
      <c r="J61" s="492">
        <f t="shared" si="21"/>
        <v>8803700</v>
      </c>
      <c r="K61" s="492"/>
      <c r="L61" s="492"/>
      <c r="M61" s="492"/>
      <c r="N61" s="492">
        <f>1500000+250000+4050000-500000+3142000+796000-250000-325000+140700</f>
        <v>8803700</v>
      </c>
      <c r="O61" s="492">
        <f>1750000+4050000-500000+3142000+796000-250000-325000+140700</f>
        <v>8803700</v>
      </c>
      <c r="P61" s="492">
        <f>250000-250000</f>
        <v>0</v>
      </c>
      <c r="Q61" s="492">
        <f t="shared" ref="Q61:Q66" si="26">+J61+E61</f>
        <v>9828000</v>
      </c>
      <c r="R61" s="381">
        <f t="shared" si="2"/>
        <v>9828000</v>
      </c>
      <c r="S61" s="383"/>
      <c r="T61" s="382"/>
      <c r="U61" s="382"/>
      <c r="V61" s="382"/>
    </row>
    <row r="62" spans="1:22" s="386" customFormat="1" ht="63" x14ac:dyDescent="0.25">
      <c r="A62" s="387" t="s">
        <v>1827</v>
      </c>
      <c r="B62" s="1083">
        <v>1180</v>
      </c>
      <c r="C62" s="387"/>
      <c r="D62" s="392" t="s">
        <v>1828</v>
      </c>
      <c r="E62" s="492">
        <f t="shared" si="20"/>
        <v>4767114</v>
      </c>
      <c r="F62" s="492">
        <f t="shared" ref="F62:P62" si="27">F63+F64</f>
        <v>4767114</v>
      </c>
      <c r="G62" s="492">
        <f t="shared" si="27"/>
        <v>2606750</v>
      </c>
      <c r="H62" s="492">
        <f t="shared" si="27"/>
        <v>0</v>
      </c>
      <c r="I62" s="492">
        <f t="shared" si="27"/>
        <v>0</v>
      </c>
      <c r="J62" s="492">
        <f t="shared" si="21"/>
        <v>459660</v>
      </c>
      <c r="K62" s="492">
        <f t="shared" si="27"/>
        <v>0</v>
      </c>
      <c r="L62" s="492">
        <f t="shared" si="27"/>
        <v>0</v>
      </c>
      <c r="M62" s="492">
        <f t="shared" si="27"/>
        <v>0</v>
      </c>
      <c r="N62" s="492">
        <f t="shared" si="27"/>
        <v>459660</v>
      </c>
      <c r="O62" s="492">
        <f t="shared" si="27"/>
        <v>459660</v>
      </c>
      <c r="P62" s="492">
        <f t="shared" si="27"/>
        <v>459660</v>
      </c>
      <c r="Q62" s="492">
        <f t="shared" si="26"/>
        <v>5226774</v>
      </c>
      <c r="R62" s="381">
        <f t="shared" si="2"/>
        <v>5226774</v>
      </c>
      <c r="S62" s="383"/>
      <c r="T62" s="382"/>
      <c r="U62" s="382"/>
      <c r="V62" s="382"/>
    </row>
    <row r="63" spans="1:22" s="386" customFormat="1" ht="94.5" x14ac:dyDescent="0.25">
      <c r="A63" s="44" t="s">
        <v>1823</v>
      </c>
      <c r="B63" s="40">
        <v>1181</v>
      </c>
      <c r="C63" s="44" t="s">
        <v>231</v>
      </c>
      <c r="D63" s="1210" t="s">
        <v>1824</v>
      </c>
      <c r="E63" s="205">
        <f>F63+I63</f>
        <v>122777</v>
      </c>
      <c r="F63" s="205">
        <v>122777</v>
      </c>
      <c r="G63" s="1209"/>
      <c r="H63" s="1331"/>
      <c r="I63" s="1331"/>
      <c r="J63" s="54">
        <f>K63+N63</f>
        <v>137898</v>
      </c>
      <c r="K63" s="1331"/>
      <c r="L63" s="1331"/>
      <c r="M63" s="1331"/>
      <c r="N63" s="54">
        <v>137898</v>
      </c>
      <c r="O63" s="54">
        <v>137898</v>
      </c>
      <c r="P63" s="54">
        <v>137898</v>
      </c>
      <c r="Q63" s="54">
        <f t="shared" si="26"/>
        <v>260675</v>
      </c>
      <c r="R63" s="381">
        <f t="shared" si="2"/>
        <v>260675</v>
      </c>
      <c r="S63" s="383"/>
      <c r="T63" s="382"/>
      <c r="U63" s="382"/>
      <c r="V63" s="382"/>
    </row>
    <row r="64" spans="1:22" s="386" customFormat="1" ht="94.5" x14ac:dyDescent="0.25">
      <c r="A64" s="44" t="s">
        <v>1825</v>
      </c>
      <c r="B64" s="40">
        <v>1182</v>
      </c>
      <c r="C64" s="44" t="s">
        <v>231</v>
      </c>
      <c r="D64" s="1210" t="s">
        <v>1826</v>
      </c>
      <c r="E64" s="205">
        <f>F64+I64</f>
        <v>4644337</v>
      </c>
      <c r="F64" s="205">
        <f>2606750+573490+286479+795060+24056+358502</f>
        <v>4644337</v>
      </c>
      <c r="G64" s="205">
        <v>2606750</v>
      </c>
      <c r="H64" s="54"/>
      <c r="I64" s="54"/>
      <c r="J64" s="54">
        <f>K64+N64</f>
        <v>321762</v>
      </c>
      <c r="K64" s="490"/>
      <c r="L64" s="490"/>
      <c r="M64" s="490"/>
      <c r="N64" s="54">
        <v>321762</v>
      </c>
      <c r="O64" s="490">
        <v>321762</v>
      </c>
      <c r="P64" s="490">
        <v>321762</v>
      </c>
      <c r="Q64" s="54">
        <f t="shared" si="26"/>
        <v>4966099</v>
      </c>
      <c r="R64" s="381">
        <f t="shared" si="2"/>
        <v>4966099</v>
      </c>
      <c r="S64" s="383"/>
      <c r="T64" s="382"/>
      <c r="U64" s="382"/>
      <c r="V64" s="382"/>
    </row>
    <row r="65" spans="1:22" s="386" customFormat="1" ht="94.5" x14ac:dyDescent="0.25">
      <c r="A65" s="387" t="s">
        <v>1443</v>
      </c>
      <c r="B65" s="1083">
        <v>1190</v>
      </c>
      <c r="C65" s="387"/>
      <c r="D65" s="912" t="s">
        <v>1446</v>
      </c>
      <c r="E65" s="917">
        <f>F65+I65</f>
        <v>666400</v>
      </c>
      <c r="F65" s="491">
        <f>F67+F66</f>
        <v>666400</v>
      </c>
      <c r="G65" s="491">
        <f>G67+G66</f>
        <v>0</v>
      </c>
      <c r="H65" s="491">
        <f>H67+H66</f>
        <v>0</v>
      </c>
      <c r="I65" s="491">
        <f>I67+I66</f>
        <v>0</v>
      </c>
      <c r="J65" s="917">
        <f t="shared" si="21"/>
        <v>47741704</v>
      </c>
      <c r="K65" s="491">
        <f t="shared" ref="K65:P65" si="28">K67+K66</f>
        <v>0</v>
      </c>
      <c r="L65" s="491">
        <f t="shared" si="28"/>
        <v>0</v>
      </c>
      <c r="M65" s="491">
        <f t="shared" si="28"/>
        <v>0</v>
      </c>
      <c r="N65" s="491">
        <f t="shared" si="28"/>
        <v>47741704</v>
      </c>
      <c r="O65" s="491">
        <f t="shared" si="28"/>
        <v>47741704</v>
      </c>
      <c r="P65" s="491">
        <f t="shared" si="28"/>
        <v>32662900</v>
      </c>
      <c r="Q65" s="917">
        <f t="shared" si="26"/>
        <v>48408104</v>
      </c>
      <c r="R65" s="381">
        <f t="shared" si="2"/>
        <v>48408104</v>
      </c>
      <c r="S65" s="383"/>
      <c r="T65" s="382"/>
      <c r="U65" s="382"/>
      <c r="V65" s="382"/>
    </row>
    <row r="66" spans="1:22" s="386" customFormat="1" ht="141.75" x14ac:dyDescent="0.25">
      <c r="A66" s="387" t="s">
        <v>1853</v>
      </c>
      <c r="B66" s="1083">
        <v>1191</v>
      </c>
      <c r="C66" s="387" t="s">
        <v>231</v>
      </c>
      <c r="D66" s="811" t="s">
        <v>1852</v>
      </c>
      <c r="E66" s="917">
        <f>F66+I66</f>
        <v>0</v>
      </c>
      <c r="F66" s="491"/>
      <c r="G66" s="491"/>
      <c r="H66" s="492"/>
      <c r="I66" s="492"/>
      <c r="J66" s="917">
        <f t="shared" si="21"/>
        <v>15078804</v>
      </c>
      <c r="K66" s="492"/>
      <c r="L66" s="492"/>
      <c r="M66" s="492"/>
      <c r="N66" s="492">
        <f>3360000+2526000+4089500+480000+797750+833616+2974328+17610</f>
        <v>15078804</v>
      </c>
      <c r="O66" s="492">
        <f>3360000+2526000+4089500+480000+797750+833616+2974328+17610</f>
        <v>15078804</v>
      </c>
      <c r="P66" s="492"/>
      <c r="Q66" s="917">
        <f t="shared" si="26"/>
        <v>15078804</v>
      </c>
      <c r="R66" s="381">
        <f t="shared" si="2"/>
        <v>15078804</v>
      </c>
      <c r="S66" s="383"/>
      <c r="T66" s="382"/>
      <c r="U66" s="382"/>
      <c r="V66" s="382"/>
    </row>
    <row r="67" spans="1:22" s="386" customFormat="1" ht="126" x14ac:dyDescent="0.25">
      <c r="A67" s="387" t="s">
        <v>1444</v>
      </c>
      <c r="B67" s="1083">
        <v>1192</v>
      </c>
      <c r="C67" s="387" t="s">
        <v>231</v>
      </c>
      <c r="D67" s="912" t="s">
        <v>1447</v>
      </c>
      <c r="E67" s="917">
        <f t="shared" si="20"/>
        <v>666400</v>
      </c>
      <c r="F67" s="491">
        <v>666400</v>
      </c>
      <c r="G67" s="491"/>
      <c r="H67" s="492"/>
      <c r="I67" s="492"/>
      <c r="J67" s="917">
        <f t="shared" si="21"/>
        <v>32662900</v>
      </c>
      <c r="K67" s="492"/>
      <c r="L67" s="492"/>
      <c r="M67" s="492"/>
      <c r="N67" s="492">
        <v>32662900</v>
      </c>
      <c r="O67" s="492">
        <v>32662900</v>
      </c>
      <c r="P67" s="492">
        <v>32662900</v>
      </c>
      <c r="Q67" s="917">
        <f t="shared" ref="Q67:Q76" si="29">+J67+E67</f>
        <v>33329300</v>
      </c>
      <c r="R67" s="381">
        <f t="shared" si="2"/>
        <v>33329300</v>
      </c>
      <c r="S67" s="383"/>
      <c r="T67" s="382"/>
      <c r="U67" s="382"/>
      <c r="V67" s="382"/>
    </row>
    <row r="68" spans="1:22" s="386" customFormat="1" ht="78.75" hidden="1" x14ac:dyDescent="0.25">
      <c r="A68" s="387" t="s">
        <v>1448</v>
      </c>
      <c r="B68" s="1083">
        <v>1200</v>
      </c>
      <c r="C68" s="387"/>
      <c r="D68" s="912" t="s">
        <v>1449</v>
      </c>
      <c r="E68" s="917">
        <f>F68+I68</f>
        <v>0</v>
      </c>
      <c r="F68" s="491"/>
      <c r="G68" s="491"/>
      <c r="H68" s="492">
        <f>H69</f>
        <v>0</v>
      </c>
      <c r="I68" s="492">
        <f>I69</f>
        <v>0</v>
      </c>
      <c r="J68" s="917">
        <f t="shared" si="21"/>
        <v>0</v>
      </c>
      <c r="K68" s="492">
        <f t="shared" ref="K68:P68" si="30">K69</f>
        <v>0</v>
      </c>
      <c r="L68" s="492">
        <f t="shared" si="30"/>
        <v>0</v>
      </c>
      <c r="M68" s="492">
        <f t="shared" si="30"/>
        <v>0</v>
      </c>
      <c r="N68" s="492">
        <f t="shared" si="30"/>
        <v>0</v>
      </c>
      <c r="O68" s="492">
        <f t="shared" si="30"/>
        <v>0</v>
      </c>
      <c r="P68" s="492">
        <f t="shared" si="30"/>
        <v>0</v>
      </c>
      <c r="Q68" s="917">
        <f t="shared" si="29"/>
        <v>0</v>
      </c>
      <c r="R68" s="381">
        <f t="shared" si="2"/>
        <v>0</v>
      </c>
      <c r="S68" s="383"/>
      <c r="T68" s="382"/>
      <c r="U68" s="382"/>
      <c r="V68" s="382"/>
    </row>
    <row r="69" spans="1:22" s="386" customFormat="1" ht="78.75" x14ac:dyDescent="0.25">
      <c r="A69" s="387" t="s">
        <v>1445</v>
      </c>
      <c r="B69" s="44">
        <v>1210</v>
      </c>
      <c r="C69" s="387" t="s">
        <v>231</v>
      </c>
      <c r="D69" s="725" t="s">
        <v>1450</v>
      </c>
      <c r="E69" s="917">
        <f t="shared" si="20"/>
        <v>332190</v>
      </c>
      <c r="F69" s="491">
        <v>332190</v>
      </c>
      <c r="G69" s="491">
        <v>272300</v>
      </c>
      <c r="H69" s="492"/>
      <c r="I69" s="492"/>
      <c r="J69" s="917">
        <f t="shared" si="21"/>
        <v>0</v>
      </c>
      <c r="K69" s="492"/>
      <c r="L69" s="492"/>
      <c r="M69" s="492"/>
      <c r="N69" s="492"/>
      <c r="O69" s="492"/>
      <c r="P69" s="492"/>
      <c r="Q69" s="917">
        <f t="shared" si="29"/>
        <v>332190</v>
      </c>
      <c r="R69" s="381">
        <f t="shared" si="2"/>
        <v>332190</v>
      </c>
      <c r="S69" s="383"/>
      <c r="T69" s="382"/>
      <c r="U69" s="382"/>
      <c r="V69" s="382"/>
    </row>
    <row r="70" spans="1:22" s="386" customFormat="1" ht="47.25" x14ac:dyDescent="0.25">
      <c r="A70" s="387" t="s">
        <v>1925</v>
      </c>
      <c r="B70" s="1081">
        <v>1220</v>
      </c>
      <c r="C70" s="387"/>
      <c r="D70" s="1079" t="s">
        <v>1926</v>
      </c>
      <c r="E70" s="491">
        <f t="shared" ref="E70:Q70" si="31">E72+E71</f>
        <v>0</v>
      </c>
      <c r="F70" s="491">
        <f t="shared" si="31"/>
        <v>0</v>
      </c>
      <c r="G70" s="491">
        <f t="shared" si="31"/>
        <v>0</v>
      </c>
      <c r="H70" s="491">
        <f t="shared" si="31"/>
        <v>0</v>
      </c>
      <c r="I70" s="491">
        <f t="shared" si="31"/>
        <v>0</v>
      </c>
      <c r="J70" s="491">
        <f t="shared" si="31"/>
        <v>7000000</v>
      </c>
      <c r="K70" s="491">
        <f t="shared" si="31"/>
        <v>0</v>
      </c>
      <c r="L70" s="491">
        <f t="shared" si="31"/>
        <v>0</v>
      </c>
      <c r="M70" s="491">
        <f t="shared" si="31"/>
        <v>0</v>
      </c>
      <c r="N70" s="491">
        <f t="shared" si="31"/>
        <v>7000000</v>
      </c>
      <c r="O70" s="491">
        <f t="shared" si="31"/>
        <v>7000000</v>
      </c>
      <c r="P70" s="491">
        <f t="shared" si="31"/>
        <v>7000000</v>
      </c>
      <c r="Q70" s="491">
        <f t="shared" si="31"/>
        <v>7000000</v>
      </c>
      <c r="R70" s="381">
        <f t="shared" si="2"/>
        <v>7000000</v>
      </c>
      <c r="S70" s="383"/>
      <c r="T70" s="382"/>
      <c r="U70" s="382"/>
      <c r="V70" s="382"/>
    </row>
    <row r="71" spans="1:22" s="386" customFormat="1" ht="94.5" x14ac:dyDescent="0.25">
      <c r="A71" s="387" t="s">
        <v>1933</v>
      </c>
      <c r="B71" s="1081">
        <v>1221</v>
      </c>
      <c r="C71" s="387" t="s">
        <v>231</v>
      </c>
      <c r="D71" s="1079" t="s">
        <v>1934</v>
      </c>
      <c r="E71" s="491">
        <f>F71+I71</f>
        <v>0</v>
      </c>
      <c r="F71" s="491"/>
      <c r="G71" s="491"/>
      <c r="H71" s="491"/>
      <c r="I71" s="491"/>
      <c r="J71" s="54">
        <f>+K71+N71</f>
        <v>2100000</v>
      </c>
      <c r="K71" s="491"/>
      <c r="L71" s="491"/>
      <c r="M71" s="491"/>
      <c r="N71" s="491">
        <v>2100000</v>
      </c>
      <c r="O71" s="491">
        <v>2100000</v>
      </c>
      <c r="P71" s="491">
        <v>2100000</v>
      </c>
      <c r="Q71" s="492">
        <f>+J71+E71</f>
        <v>2100000</v>
      </c>
      <c r="R71" s="381">
        <f t="shared" si="2"/>
        <v>2100000</v>
      </c>
      <c r="S71" s="383"/>
      <c r="T71" s="382"/>
      <c r="U71" s="382"/>
      <c r="V71" s="382"/>
    </row>
    <row r="72" spans="1:22" s="386" customFormat="1" ht="78.75" x14ac:dyDescent="0.25">
      <c r="A72" s="387" t="s">
        <v>1927</v>
      </c>
      <c r="B72" s="1081">
        <v>1222</v>
      </c>
      <c r="C72" s="387" t="s">
        <v>231</v>
      </c>
      <c r="D72" s="1079" t="s">
        <v>1928</v>
      </c>
      <c r="E72" s="491">
        <f>F72+I72</f>
        <v>0</v>
      </c>
      <c r="F72" s="491"/>
      <c r="G72" s="491"/>
      <c r="H72" s="492"/>
      <c r="I72" s="492"/>
      <c r="J72" s="54">
        <f>+K72+N72</f>
        <v>4900000</v>
      </c>
      <c r="K72" s="54"/>
      <c r="L72" s="54"/>
      <c r="M72" s="54"/>
      <c r="N72" s="54">
        <v>4900000</v>
      </c>
      <c r="O72" s="54">
        <v>4900000</v>
      </c>
      <c r="P72" s="54">
        <v>4900000</v>
      </c>
      <c r="Q72" s="492">
        <f>+J72+E72</f>
        <v>4900000</v>
      </c>
      <c r="R72" s="381">
        <f t="shared" si="2"/>
        <v>4900000</v>
      </c>
      <c r="S72" s="383"/>
      <c r="T72" s="382"/>
      <c r="U72" s="382"/>
      <c r="V72" s="382"/>
    </row>
    <row r="73" spans="1:22" s="386" customFormat="1" ht="37.5" x14ac:dyDescent="0.25">
      <c r="A73" s="44" t="s">
        <v>974</v>
      </c>
      <c r="B73" s="44" t="s">
        <v>446</v>
      </c>
      <c r="C73" s="44" t="s">
        <v>411</v>
      </c>
      <c r="D73" s="42" t="s">
        <v>1041</v>
      </c>
      <c r="E73" s="917"/>
      <c r="F73" s="491"/>
      <c r="G73" s="491"/>
      <c r="H73" s="492"/>
      <c r="I73" s="492"/>
      <c r="J73" s="492">
        <f>+K73+N73</f>
        <v>100000</v>
      </c>
      <c r="K73" s="492"/>
      <c r="L73" s="492"/>
      <c r="M73" s="492"/>
      <c r="N73" s="492">
        <v>100000</v>
      </c>
      <c r="O73" s="492">
        <v>100000</v>
      </c>
      <c r="P73" s="492">
        <v>100000</v>
      </c>
      <c r="Q73" s="492">
        <f>+J73+E73</f>
        <v>100000</v>
      </c>
      <c r="R73" s="381">
        <f t="shared" si="2"/>
        <v>100000</v>
      </c>
      <c r="S73" s="383"/>
      <c r="T73" s="382"/>
      <c r="U73" s="382"/>
      <c r="V73" s="382"/>
    </row>
    <row r="74" spans="1:22" s="257" customFormat="1" ht="47.25" x14ac:dyDescent="0.25">
      <c r="A74" s="387" t="s">
        <v>1013</v>
      </c>
      <c r="B74" s="387" t="s">
        <v>806</v>
      </c>
      <c r="C74" s="387" t="s">
        <v>224</v>
      </c>
      <c r="D74" s="197" t="s">
        <v>1764</v>
      </c>
      <c r="E74" s="917">
        <f t="shared" si="20"/>
        <v>0</v>
      </c>
      <c r="F74" s="491"/>
      <c r="G74" s="491"/>
      <c r="H74" s="492"/>
      <c r="I74" s="492"/>
      <c r="J74" s="492">
        <f t="shared" si="21"/>
        <v>1476902</v>
      </c>
      <c r="K74" s="492"/>
      <c r="L74" s="492"/>
      <c r="M74" s="492"/>
      <c r="N74" s="492">
        <v>1476902</v>
      </c>
      <c r="O74" s="492">
        <v>1476902</v>
      </c>
      <c r="P74" s="492">
        <f>976902+500000</f>
        <v>1476902</v>
      </c>
      <c r="Q74" s="492">
        <f t="shared" si="29"/>
        <v>1476902</v>
      </c>
      <c r="R74" s="381">
        <f t="shared" si="2"/>
        <v>1476902</v>
      </c>
      <c r="S74" s="148"/>
      <c r="T74" s="382">
        <f>P75-O75</f>
        <v>0</v>
      </c>
      <c r="U74" s="296"/>
      <c r="V74" s="382">
        <f>O75-N75</f>
        <v>0</v>
      </c>
    </row>
    <row r="75" spans="1:22" s="386" customFormat="1" ht="47.25" x14ac:dyDescent="0.25">
      <c r="A75" s="387" t="s">
        <v>606</v>
      </c>
      <c r="B75" s="387" t="s">
        <v>607</v>
      </c>
      <c r="C75" s="387" t="s">
        <v>11</v>
      </c>
      <c r="D75" s="392" t="s">
        <v>608</v>
      </c>
      <c r="E75" s="917">
        <f t="shared" si="20"/>
        <v>51852950</v>
      </c>
      <c r="F75" s="491">
        <v>51852950</v>
      </c>
      <c r="G75" s="491"/>
      <c r="H75" s="492"/>
      <c r="I75" s="492"/>
      <c r="J75" s="917">
        <f t="shared" si="21"/>
        <v>0</v>
      </c>
      <c r="K75" s="492"/>
      <c r="L75" s="492"/>
      <c r="M75" s="492"/>
      <c r="N75" s="492"/>
      <c r="O75" s="492"/>
      <c r="P75" s="492"/>
      <c r="Q75" s="917">
        <f t="shared" si="29"/>
        <v>51852950</v>
      </c>
      <c r="R75" s="381">
        <f t="shared" si="2"/>
        <v>51852950</v>
      </c>
      <c r="S75" s="383">
        <f>R75-Q75</f>
        <v>0</v>
      </c>
      <c r="T75" s="382">
        <f t="shared" si="3"/>
        <v>0</v>
      </c>
      <c r="U75" s="382"/>
      <c r="V75" s="382">
        <f t="shared" si="4"/>
        <v>0</v>
      </c>
    </row>
    <row r="76" spans="1:22" s="297" customFormat="1" ht="47.25" x14ac:dyDescent="0.25">
      <c r="A76" s="44" t="s">
        <v>321</v>
      </c>
      <c r="B76" s="44" t="s">
        <v>322</v>
      </c>
      <c r="C76" s="44" t="s">
        <v>11</v>
      </c>
      <c r="D76" s="42" t="s">
        <v>323</v>
      </c>
      <c r="E76" s="917">
        <f t="shared" si="20"/>
        <v>3481257</v>
      </c>
      <c r="F76" s="205">
        <v>1143790</v>
      </c>
      <c r="G76" s="205"/>
      <c r="H76" s="54"/>
      <c r="I76" s="54">
        <f>743467+1594000</f>
        <v>2337467</v>
      </c>
      <c r="J76" s="917">
        <f t="shared" si="21"/>
        <v>0</v>
      </c>
      <c r="K76" s="490"/>
      <c r="L76" s="490"/>
      <c r="M76" s="490"/>
      <c r="N76" s="54"/>
      <c r="O76" s="54"/>
      <c r="P76" s="54"/>
      <c r="Q76" s="917">
        <f t="shared" si="29"/>
        <v>3481257</v>
      </c>
      <c r="R76" s="381">
        <f t="shared" si="2"/>
        <v>3481257</v>
      </c>
      <c r="S76" s="295">
        <f>R76-Q76</f>
        <v>0</v>
      </c>
      <c r="T76" s="382">
        <f t="shared" si="3"/>
        <v>0</v>
      </c>
      <c r="U76" s="296"/>
      <c r="V76" s="382">
        <f t="shared" si="4"/>
        <v>0</v>
      </c>
    </row>
    <row r="77" spans="1:22" s="386" customFormat="1" ht="63" x14ac:dyDescent="0.25">
      <c r="A77" s="387" t="s">
        <v>324</v>
      </c>
      <c r="B77" s="398">
        <v>9330</v>
      </c>
      <c r="C77" s="387" t="s">
        <v>11</v>
      </c>
      <c r="D77" s="399" t="s">
        <v>325</v>
      </c>
      <c r="E77" s="917">
        <f t="shared" si="20"/>
        <v>21231900</v>
      </c>
      <c r="F77" s="491">
        <v>14084800</v>
      </c>
      <c r="G77" s="491"/>
      <c r="H77" s="492"/>
      <c r="I77" s="492">
        <v>7147100</v>
      </c>
      <c r="J77" s="492">
        <f t="shared" si="21"/>
        <v>0</v>
      </c>
      <c r="K77" s="913"/>
      <c r="L77" s="913"/>
      <c r="M77" s="913"/>
      <c r="N77" s="492"/>
      <c r="O77" s="913"/>
      <c r="P77" s="913"/>
      <c r="Q77" s="492">
        <f t="shared" ref="Q77:Q82" si="32">+J77+E77</f>
        <v>21231900</v>
      </c>
      <c r="R77" s="381">
        <f t="shared" si="2"/>
        <v>21231900</v>
      </c>
      <c r="S77" s="383">
        <f>R77-Q77</f>
        <v>0</v>
      </c>
      <c r="T77" s="382">
        <f t="shared" si="3"/>
        <v>0</v>
      </c>
      <c r="U77" s="382"/>
      <c r="V77" s="382">
        <f t="shared" si="4"/>
        <v>0</v>
      </c>
    </row>
    <row r="78" spans="1:22" s="297" customFormat="1" ht="78.75" x14ac:dyDescent="0.25">
      <c r="A78" s="44" t="s">
        <v>696</v>
      </c>
      <c r="B78" s="40">
        <v>9350</v>
      </c>
      <c r="C78" s="44" t="s">
        <v>11</v>
      </c>
      <c r="D78" s="45" t="s">
        <v>700</v>
      </c>
      <c r="E78" s="630">
        <f t="shared" si="20"/>
        <v>49400801</v>
      </c>
      <c r="F78" s="204">
        <v>11426142</v>
      </c>
      <c r="G78" s="204"/>
      <c r="H78" s="51"/>
      <c r="I78" s="51">
        <v>37974659</v>
      </c>
      <c r="J78" s="51">
        <f t="shared" si="21"/>
        <v>0</v>
      </c>
      <c r="K78" s="53"/>
      <c r="L78" s="53"/>
      <c r="M78" s="53"/>
      <c r="N78" s="51"/>
      <c r="O78" s="53"/>
      <c r="P78" s="53"/>
      <c r="Q78" s="51">
        <f t="shared" si="32"/>
        <v>49400801</v>
      </c>
      <c r="R78" s="381">
        <f t="shared" si="2"/>
        <v>49400801</v>
      </c>
      <c r="S78" s="295"/>
      <c r="T78" s="382">
        <f t="shared" si="3"/>
        <v>0</v>
      </c>
      <c r="U78" s="296"/>
      <c r="V78" s="382">
        <f t="shared" si="4"/>
        <v>0</v>
      </c>
    </row>
    <row r="79" spans="1:22" s="297" customFormat="1" ht="78.75" hidden="1" x14ac:dyDescent="0.25">
      <c r="A79" s="44" t="s">
        <v>810</v>
      </c>
      <c r="B79" s="40">
        <v>9360</v>
      </c>
      <c r="C79" s="44" t="s">
        <v>11</v>
      </c>
      <c r="D79" s="134" t="s">
        <v>1010</v>
      </c>
      <c r="E79" s="204">
        <f t="shared" si="20"/>
        <v>0</v>
      </c>
      <c r="F79" s="204"/>
      <c r="G79" s="204"/>
      <c r="H79" s="204"/>
      <c r="I79" s="204"/>
      <c r="J79" s="51">
        <f t="shared" si="21"/>
        <v>0</v>
      </c>
      <c r="K79" s="210"/>
      <c r="L79" s="210"/>
      <c r="M79" s="210"/>
      <c r="N79" s="204"/>
      <c r="O79" s="210"/>
      <c r="P79" s="210"/>
      <c r="Q79" s="204">
        <f t="shared" si="32"/>
        <v>0</v>
      </c>
      <c r="R79" s="381">
        <f t="shared" si="2"/>
        <v>0</v>
      </c>
      <c r="S79" s="295"/>
      <c r="T79" s="382">
        <f t="shared" si="3"/>
        <v>0</v>
      </c>
      <c r="U79" s="296"/>
      <c r="V79" s="382">
        <f t="shared" si="4"/>
        <v>0</v>
      </c>
    </row>
    <row r="80" spans="1:22" s="297" customFormat="1" ht="94.5" x14ac:dyDescent="0.25">
      <c r="A80" s="44" t="s">
        <v>1037</v>
      </c>
      <c r="B80" s="40">
        <v>9380</v>
      </c>
      <c r="C80" s="44" t="s">
        <v>11</v>
      </c>
      <c r="D80" s="134" t="s">
        <v>1038</v>
      </c>
      <c r="E80" s="205">
        <f t="shared" si="20"/>
        <v>3782740</v>
      </c>
      <c r="F80" s="205">
        <f>2657520+810690+314530</f>
        <v>3782740</v>
      </c>
      <c r="G80" s="205"/>
      <c r="H80" s="54"/>
      <c r="I80" s="54"/>
      <c r="J80" s="54">
        <f t="shared" si="21"/>
        <v>0</v>
      </c>
      <c r="K80" s="490"/>
      <c r="L80" s="490"/>
      <c r="M80" s="490"/>
      <c r="N80" s="54"/>
      <c r="O80" s="490"/>
      <c r="P80" s="490"/>
      <c r="Q80" s="54">
        <f t="shared" si="32"/>
        <v>3782740</v>
      </c>
      <c r="R80" s="381">
        <f t="shared" si="2"/>
        <v>3782740</v>
      </c>
      <c r="S80" s="295"/>
      <c r="T80" s="382"/>
      <c r="U80" s="296"/>
      <c r="V80" s="382"/>
    </row>
    <row r="81" spans="1:23" s="297" customFormat="1" ht="15.75" hidden="1" x14ac:dyDescent="0.25">
      <c r="A81" s="614" t="s">
        <v>574</v>
      </c>
      <c r="B81" s="614" t="s">
        <v>304</v>
      </c>
      <c r="C81" s="614" t="s">
        <v>11</v>
      </c>
      <c r="D81" s="672" t="s">
        <v>364</v>
      </c>
      <c r="E81" s="658">
        <f t="shared" si="20"/>
        <v>0</v>
      </c>
      <c r="F81" s="658"/>
      <c r="G81" s="658"/>
      <c r="H81" s="658"/>
      <c r="I81" s="658"/>
      <c r="J81" s="663">
        <f t="shared" si="21"/>
        <v>0</v>
      </c>
      <c r="K81" s="673"/>
      <c r="L81" s="674"/>
      <c r="M81" s="674"/>
      <c r="N81" s="658"/>
      <c r="O81" s="674"/>
      <c r="P81" s="674"/>
      <c r="Q81" s="658">
        <f t="shared" si="32"/>
        <v>0</v>
      </c>
      <c r="R81" s="381">
        <f t="shared" si="2"/>
        <v>0</v>
      </c>
      <c r="S81" s="295">
        <f>R81-Q81</f>
        <v>0</v>
      </c>
      <c r="T81" s="382">
        <f t="shared" si="3"/>
        <v>0</v>
      </c>
      <c r="U81" s="296"/>
      <c r="V81" s="382">
        <f t="shared" si="4"/>
        <v>0</v>
      </c>
    </row>
    <row r="82" spans="1:23" s="297" customFormat="1" ht="63" x14ac:dyDescent="0.25">
      <c r="A82" s="165" t="s">
        <v>1576</v>
      </c>
      <c r="B82" s="165" t="s">
        <v>299</v>
      </c>
      <c r="C82" s="165" t="s">
        <v>11</v>
      </c>
      <c r="D82" s="34" t="s">
        <v>300</v>
      </c>
      <c r="E82" s="54">
        <f t="shared" si="20"/>
        <v>108956</v>
      </c>
      <c r="F82" s="54">
        <v>108956</v>
      </c>
      <c r="G82" s="54"/>
      <c r="H82" s="54"/>
      <c r="I82" s="54"/>
      <c r="J82" s="54">
        <f t="shared" si="21"/>
        <v>1000000</v>
      </c>
      <c r="K82" s="54"/>
      <c r="L82" s="54"/>
      <c r="M82" s="54"/>
      <c r="N82" s="54">
        <v>1000000</v>
      </c>
      <c r="O82" s="54">
        <v>1000000</v>
      </c>
      <c r="P82" s="54">
        <v>1000000</v>
      </c>
      <c r="Q82" s="54">
        <f t="shared" si="32"/>
        <v>1108956</v>
      </c>
      <c r="R82" s="381">
        <f t="shared" ref="R82:R145" si="33">+E82+J82</f>
        <v>1108956</v>
      </c>
      <c r="S82" s="295"/>
      <c r="T82" s="382"/>
      <c r="U82" s="296"/>
      <c r="V82" s="382"/>
    </row>
    <row r="83" spans="1:23" s="404" customFormat="1" ht="47.25" x14ac:dyDescent="0.25">
      <c r="A83" s="402" t="s">
        <v>326</v>
      </c>
      <c r="B83" s="402"/>
      <c r="C83" s="402"/>
      <c r="D83" s="172" t="s">
        <v>1181</v>
      </c>
      <c r="E83" s="915">
        <f>+E86+E91+E92+E93+E95+E96+E97+E99+E100+E101+E105+E104+E102+E106+E103+E98+E94+E113+E115+E117+E118+E90+E112+E110+E116+E107+E108+E109+E114+E111</f>
        <v>304435711</v>
      </c>
      <c r="F83" s="915">
        <f t="shared" ref="F83:Q83" si="34">+F86+F91+F92+F93+F95+F96+F97+F99+F100+F101+F105+F104+F102+F106+F103+F98+F94+F113+F115+F117+F118+F90+F112+F110+F116+F107+F108+F109+F114+F111</f>
        <v>304435711</v>
      </c>
      <c r="G83" s="915">
        <f t="shared" si="34"/>
        <v>0</v>
      </c>
      <c r="H83" s="915">
        <f t="shared" si="34"/>
        <v>0</v>
      </c>
      <c r="I83" s="915">
        <f t="shared" si="34"/>
        <v>0</v>
      </c>
      <c r="J83" s="915">
        <f t="shared" si="34"/>
        <v>134155069</v>
      </c>
      <c r="K83" s="915">
        <f t="shared" si="34"/>
        <v>88396900</v>
      </c>
      <c r="L83" s="915">
        <f t="shared" si="34"/>
        <v>0</v>
      </c>
      <c r="M83" s="915">
        <f t="shared" si="34"/>
        <v>0</v>
      </c>
      <c r="N83" s="915">
        <f t="shared" si="34"/>
        <v>45758169</v>
      </c>
      <c r="O83" s="915">
        <f t="shared" si="34"/>
        <v>44481569</v>
      </c>
      <c r="P83" s="915">
        <f t="shared" si="34"/>
        <v>29224169</v>
      </c>
      <c r="Q83" s="915">
        <f t="shared" si="34"/>
        <v>438590780</v>
      </c>
      <c r="R83" s="381">
        <f t="shared" si="33"/>
        <v>438590780</v>
      </c>
      <c r="S83" s="403">
        <f>R83-Q83</f>
        <v>0</v>
      </c>
      <c r="T83" s="382">
        <f t="shared" si="3"/>
        <v>-15257400</v>
      </c>
      <c r="U83" s="382"/>
      <c r="V83" s="382">
        <f t="shared" si="4"/>
        <v>-1276600</v>
      </c>
    </row>
    <row r="84" spans="1:23" s="404" customFormat="1" ht="47.25" x14ac:dyDescent="0.25">
      <c r="A84" s="402" t="s">
        <v>327</v>
      </c>
      <c r="B84" s="402"/>
      <c r="C84" s="402"/>
      <c r="D84" s="172" t="s">
        <v>1181</v>
      </c>
      <c r="E84" s="915">
        <f>SUM(E90:E118)+E88+E87+E89</f>
        <v>304435711</v>
      </c>
      <c r="F84" s="915">
        <f t="shared" ref="F84:Q84" si="35">SUM(F90:F118)+F88+F87+F89</f>
        <v>304435711</v>
      </c>
      <c r="G84" s="915">
        <f t="shared" si="35"/>
        <v>0</v>
      </c>
      <c r="H84" s="1332">
        <f t="shared" si="35"/>
        <v>0</v>
      </c>
      <c r="I84" s="1332">
        <f t="shared" si="35"/>
        <v>0</v>
      </c>
      <c r="J84" s="1332">
        <f t="shared" si="35"/>
        <v>134155069</v>
      </c>
      <c r="K84" s="1332">
        <f t="shared" si="35"/>
        <v>88396900</v>
      </c>
      <c r="L84" s="1332">
        <f t="shared" si="35"/>
        <v>0</v>
      </c>
      <c r="M84" s="1332">
        <f t="shared" si="35"/>
        <v>0</v>
      </c>
      <c r="N84" s="1332">
        <f t="shared" si="35"/>
        <v>45758169</v>
      </c>
      <c r="O84" s="1332">
        <f t="shared" si="35"/>
        <v>44481569</v>
      </c>
      <c r="P84" s="1332">
        <f t="shared" si="35"/>
        <v>29224169</v>
      </c>
      <c r="Q84" s="1332">
        <f t="shared" si="35"/>
        <v>438590780</v>
      </c>
      <c r="R84" s="381">
        <f t="shared" si="33"/>
        <v>438590780</v>
      </c>
      <c r="S84" s="403">
        <f>R84-Q84</f>
        <v>0</v>
      </c>
      <c r="T84" s="382">
        <f t="shared" si="3"/>
        <v>-15257400</v>
      </c>
      <c r="U84" s="382"/>
      <c r="V84" s="382">
        <f t="shared" si="4"/>
        <v>-1276600</v>
      </c>
      <c r="W84" s="403"/>
    </row>
    <row r="85" spans="1:23" s="562" customFormat="1" ht="15.75" hidden="1" x14ac:dyDescent="0.25">
      <c r="A85" s="675"/>
      <c r="B85" s="675"/>
      <c r="C85" s="675"/>
      <c r="D85" s="676"/>
      <c r="E85" s="677">
        <f>E84-E86-E90-E91-E107</f>
        <v>234108311</v>
      </c>
      <c r="F85" s="677">
        <f t="shared" ref="F85:Q85" si="36">F84-F86-F90-F91-F107</f>
        <v>234108311</v>
      </c>
      <c r="G85" s="677">
        <f t="shared" si="36"/>
        <v>0</v>
      </c>
      <c r="H85" s="1333">
        <f t="shared" si="36"/>
        <v>0</v>
      </c>
      <c r="I85" s="1333">
        <f t="shared" si="36"/>
        <v>0</v>
      </c>
      <c r="J85" s="1333">
        <f t="shared" si="36"/>
        <v>47927169</v>
      </c>
      <c r="K85" s="1333">
        <f t="shared" si="36"/>
        <v>4968600</v>
      </c>
      <c r="L85" s="1333">
        <f t="shared" si="36"/>
        <v>0</v>
      </c>
      <c r="M85" s="1333">
        <f t="shared" si="36"/>
        <v>0</v>
      </c>
      <c r="N85" s="1333">
        <f t="shared" si="36"/>
        <v>42958569</v>
      </c>
      <c r="O85" s="1333">
        <f t="shared" si="36"/>
        <v>42958569</v>
      </c>
      <c r="P85" s="1333">
        <f>P84-P86-P90-P91-P107</f>
        <v>27701169</v>
      </c>
      <c r="Q85" s="1333">
        <f t="shared" si="36"/>
        <v>282035480</v>
      </c>
      <c r="R85" s="381">
        <f t="shared" si="33"/>
        <v>282035480</v>
      </c>
      <c r="S85" s="560"/>
      <c r="T85" s="382">
        <f t="shared" si="3"/>
        <v>-15257400</v>
      </c>
      <c r="U85" s="561"/>
      <c r="V85" s="561">
        <f t="shared" si="4"/>
        <v>0</v>
      </c>
      <c r="W85" s="560"/>
    </row>
    <row r="86" spans="1:23" ht="31.5" x14ac:dyDescent="0.25">
      <c r="A86" s="387" t="s">
        <v>1200</v>
      </c>
      <c r="B86" s="387" t="s">
        <v>1215</v>
      </c>
      <c r="C86" s="387"/>
      <c r="D86" s="392" t="s">
        <v>932</v>
      </c>
      <c r="E86" s="491">
        <f t="shared" ref="E86:Q86" si="37">E87+E88+E89</f>
        <v>57870200</v>
      </c>
      <c r="F86" s="491">
        <f t="shared" si="37"/>
        <v>57870200</v>
      </c>
      <c r="G86" s="491">
        <f t="shared" si="37"/>
        <v>0</v>
      </c>
      <c r="H86" s="492">
        <f t="shared" si="37"/>
        <v>0</v>
      </c>
      <c r="I86" s="492">
        <f t="shared" si="37"/>
        <v>0</v>
      </c>
      <c r="J86" s="492">
        <f t="shared" si="37"/>
        <v>70414800</v>
      </c>
      <c r="K86" s="492">
        <f t="shared" si="37"/>
        <v>69123200</v>
      </c>
      <c r="L86" s="492">
        <f t="shared" si="37"/>
        <v>0</v>
      </c>
      <c r="M86" s="492">
        <f t="shared" si="37"/>
        <v>0</v>
      </c>
      <c r="N86" s="492">
        <f t="shared" si="37"/>
        <v>1291600</v>
      </c>
      <c r="O86" s="492">
        <f t="shared" si="37"/>
        <v>95400</v>
      </c>
      <c r="P86" s="492">
        <f t="shared" si="37"/>
        <v>95400</v>
      </c>
      <c r="Q86" s="492">
        <f t="shared" si="37"/>
        <v>128285000</v>
      </c>
      <c r="R86" s="381">
        <f t="shared" si="33"/>
        <v>128285000</v>
      </c>
      <c r="S86" s="403">
        <f>R86-Q86</f>
        <v>0</v>
      </c>
      <c r="T86" s="382">
        <f t="shared" si="3"/>
        <v>0</v>
      </c>
      <c r="U86" s="382"/>
      <c r="V86" s="382">
        <f t="shared" si="4"/>
        <v>-1196200</v>
      </c>
    </row>
    <row r="87" spans="1:23" ht="47.25" x14ac:dyDescent="0.25">
      <c r="A87" s="387" t="s">
        <v>1201</v>
      </c>
      <c r="B87" s="1081">
        <v>1101</v>
      </c>
      <c r="C87" s="387" t="s">
        <v>24</v>
      </c>
      <c r="D87" s="811" t="s">
        <v>1195</v>
      </c>
      <c r="E87" s="491">
        <f>F87+I87</f>
        <v>52586400</v>
      </c>
      <c r="F87" s="491">
        <f>52921400-335000</f>
        <v>52586400</v>
      </c>
      <c r="G87" s="491"/>
      <c r="H87" s="492"/>
      <c r="I87" s="492"/>
      <c r="J87" s="1334">
        <f>+K87+N87</f>
        <v>70319400</v>
      </c>
      <c r="K87" s="1334">
        <v>69123200</v>
      </c>
      <c r="L87" s="1334"/>
      <c r="M87" s="1334"/>
      <c r="N87" s="1334">
        <v>1196200</v>
      </c>
      <c r="O87" s="1334"/>
      <c r="P87" s="1334"/>
      <c r="Q87" s="1334">
        <f t="shared" ref="Q87:Q101" si="38">+J87+E87</f>
        <v>122905800</v>
      </c>
      <c r="R87" s="381">
        <f t="shared" si="33"/>
        <v>122905800</v>
      </c>
      <c r="S87" s="403"/>
      <c r="T87" s="382"/>
      <c r="U87" s="382"/>
      <c r="V87" s="382"/>
    </row>
    <row r="88" spans="1:23" ht="47.25" x14ac:dyDescent="0.25">
      <c r="A88" s="387" t="s">
        <v>1202</v>
      </c>
      <c r="B88" s="1081">
        <v>1102</v>
      </c>
      <c r="C88" s="387" t="s">
        <v>24</v>
      </c>
      <c r="D88" s="811" t="s">
        <v>1196</v>
      </c>
      <c r="E88" s="491">
        <f>F88+I88</f>
        <v>4985600</v>
      </c>
      <c r="F88" s="491">
        <v>4985600</v>
      </c>
      <c r="G88" s="491"/>
      <c r="H88" s="492"/>
      <c r="I88" s="492"/>
      <c r="J88" s="1334">
        <f t="shared" ref="J88:J96" si="39">+K88+N88</f>
        <v>0</v>
      </c>
      <c r="K88" s="1334"/>
      <c r="L88" s="1334"/>
      <c r="M88" s="1334"/>
      <c r="N88" s="1334"/>
      <c r="O88" s="1334"/>
      <c r="P88" s="1334"/>
      <c r="Q88" s="1334">
        <f t="shared" si="38"/>
        <v>4985600</v>
      </c>
      <c r="R88" s="381">
        <f t="shared" si="33"/>
        <v>4985600</v>
      </c>
      <c r="S88" s="403"/>
      <c r="T88" s="382"/>
      <c r="U88" s="382"/>
      <c r="V88" s="382"/>
    </row>
    <row r="89" spans="1:23" ht="110.25" x14ac:dyDescent="0.25">
      <c r="A89" s="387" t="s">
        <v>1432</v>
      </c>
      <c r="B89" s="1084">
        <v>1104</v>
      </c>
      <c r="C89" s="387" t="s">
        <v>24</v>
      </c>
      <c r="D89" s="811" t="s">
        <v>1433</v>
      </c>
      <c r="E89" s="491">
        <f>F89+I89</f>
        <v>298200</v>
      </c>
      <c r="F89" s="491">
        <v>298200</v>
      </c>
      <c r="G89" s="491"/>
      <c r="H89" s="492"/>
      <c r="I89" s="492"/>
      <c r="J89" s="1334">
        <f t="shared" si="39"/>
        <v>95400</v>
      </c>
      <c r="K89" s="1334"/>
      <c r="L89" s="1334"/>
      <c r="M89" s="1334"/>
      <c r="N89" s="1334">
        <v>95400</v>
      </c>
      <c r="O89" s="1334">
        <v>95400</v>
      </c>
      <c r="P89" s="1334">
        <v>95400</v>
      </c>
      <c r="Q89" s="1334">
        <f>+J89+E89</f>
        <v>393600</v>
      </c>
      <c r="R89" s="381">
        <f t="shared" si="33"/>
        <v>393600</v>
      </c>
      <c r="S89" s="403"/>
      <c r="T89" s="382"/>
      <c r="U89" s="382"/>
      <c r="V89" s="382"/>
    </row>
    <row r="90" spans="1:23" ht="15.75" x14ac:dyDescent="0.25">
      <c r="A90" s="387" t="s">
        <v>1203</v>
      </c>
      <c r="B90" s="387" t="s">
        <v>318</v>
      </c>
      <c r="C90" s="387" t="s">
        <v>520</v>
      </c>
      <c r="D90" s="392" t="s">
        <v>935</v>
      </c>
      <c r="E90" s="461">
        <f t="shared" ref="E90:E118" si="40">F90+I90</f>
        <v>11152200</v>
      </c>
      <c r="F90" s="461">
        <f>10817200+335000</f>
        <v>11152200</v>
      </c>
      <c r="G90" s="461"/>
      <c r="H90" s="1334"/>
      <c r="I90" s="1334"/>
      <c r="J90" s="1334">
        <f t="shared" si="39"/>
        <v>13173100</v>
      </c>
      <c r="K90" s="1334">
        <v>13092700</v>
      </c>
      <c r="L90" s="1334"/>
      <c r="M90" s="1334"/>
      <c r="N90" s="1334">
        <v>80400</v>
      </c>
      <c r="O90" s="1334"/>
      <c r="P90" s="1334"/>
      <c r="Q90" s="1334">
        <f t="shared" si="38"/>
        <v>24325300</v>
      </c>
      <c r="R90" s="381">
        <f t="shared" si="33"/>
        <v>24325300</v>
      </c>
      <c r="S90" s="403">
        <f>R90-Q90</f>
        <v>0</v>
      </c>
      <c r="T90" s="382">
        <f t="shared" si="3"/>
        <v>0</v>
      </c>
      <c r="U90" s="382"/>
      <c r="V90" s="382">
        <f t="shared" si="4"/>
        <v>-80400</v>
      </c>
    </row>
    <row r="91" spans="1:23" ht="31.5" x14ac:dyDescent="0.25">
      <c r="A91" s="387" t="s">
        <v>328</v>
      </c>
      <c r="B91" s="387" t="s">
        <v>23</v>
      </c>
      <c r="C91" s="387" t="s">
        <v>13</v>
      </c>
      <c r="D91" s="392" t="s">
        <v>306</v>
      </c>
      <c r="E91" s="461">
        <f t="shared" si="40"/>
        <v>1305000</v>
      </c>
      <c r="F91" s="461">
        <v>1305000</v>
      </c>
      <c r="G91" s="461"/>
      <c r="H91" s="1334"/>
      <c r="I91" s="1334"/>
      <c r="J91" s="1334">
        <f t="shared" si="39"/>
        <v>1212400</v>
      </c>
      <c r="K91" s="1334">
        <v>1212400</v>
      </c>
      <c r="L91" s="1334"/>
      <c r="M91" s="1334"/>
      <c r="N91" s="1334"/>
      <c r="O91" s="1334"/>
      <c r="P91" s="1334"/>
      <c r="Q91" s="1334">
        <f t="shared" si="38"/>
        <v>2517400</v>
      </c>
      <c r="R91" s="381">
        <f t="shared" si="33"/>
        <v>2517400</v>
      </c>
      <c r="S91" s="403">
        <f>R91-Q91</f>
        <v>0</v>
      </c>
      <c r="T91" s="382">
        <f t="shared" si="3"/>
        <v>0</v>
      </c>
      <c r="U91" s="382"/>
      <c r="V91" s="382">
        <f t="shared" si="4"/>
        <v>0</v>
      </c>
    </row>
    <row r="92" spans="1:23" ht="31.5" x14ac:dyDescent="0.25">
      <c r="A92" s="387" t="s">
        <v>329</v>
      </c>
      <c r="B92" s="387" t="s">
        <v>58</v>
      </c>
      <c r="C92" s="387" t="s">
        <v>99</v>
      </c>
      <c r="D92" s="392" t="s">
        <v>59</v>
      </c>
      <c r="E92" s="461">
        <f t="shared" si="40"/>
        <v>24357300</v>
      </c>
      <c r="F92" s="461">
        <f>23704800+100000+203600+348900</f>
        <v>24357300</v>
      </c>
      <c r="G92" s="461"/>
      <c r="H92" s="1334"/>
      <c r="I92" s="1334"/>
      <c r="J92" s="1334">
        <f t="shared" si="39"/>
        <v>3565444</v>
      </c>
      <c r="K92" s="1334"/>
      <c r="L92" s="1334"/>
      <c r="M92" s="1334"/>
      <c r="N92" s="1334">
        <f>8265444-4700000</f>
        <v>3565444</v>
      </c>
      <c r="O92" s="1334">
        <f>8265444-4700000</f>
        <v>3565444</v>
      </c>
      <c r="P92" s="1334">
        <f>120000+700000+200000+7232044-4700000</f>
        <v>3552044</v>
      </c>
      <c r="Q92" s="1334">
        <f t="shared" si="38"/>
        <v>27922744</v>
      </c>
      <c r="R92" s="381">
        <f t="shared" si="33"/>
        <v>27922744</v>
      </c>
      <c r="S92" s="403"/>
      <c r="T92" s="382">
        <f t="shared" si="3"/>
        <v>-13400</v>
      </c>
      <c r="U92" s="382"/>
      <c r="V92" s="382">
        <f t="shared" si="4"/>
        <v>0</v>
      </c>
    </row>
    <row r="93" spans="1:23" ht="31.5" x14ac:dyDescent="0.25">
      <c r="A93" s="387" t="s">
        <v>336</v>
      </c>
      <c r="B93" s="387" t="s">
        <v>337</v>
      </c>
      <c r="C93" s="387" t="s">
        <v>61</v>
      </c>
      <c r="D93" s="392" t="s">
        <v>98</v>
      </c>
      <c r="E93" s="461">
        <f t="shared" si="40"/>
        <v>42724711</v>
      </c>
      <c r="F93" s="461">
        <f>42443211+281500</f>
        <v>42724711</v>
      </c>
      <c r="G93" s="461"/>
      <c r="H93" s="1334"/>
      <c r="I93" s="1334"/>
      <c r="J93" s="1334">
        <f t="shared" si="39"/>
        <v>36200</v>
      </c>
      <c r="K93" s="1334"/>
      <c r="L93" s="1334"/>
      <c r="M93" s="1334"/>
      <c r="N93" s="1334">
        <v>36200</v>
      </c>
      <c r="O93" s="1334">
        <v>36200</v>
      </c>
      <c r="P93" s="1334">
        <v>36200</v>
      </c>
      <c r="Q93" s="1334">
        <f t="shared" si="38"/>
        <v>42760911</v>
      </c>
      <c r="R93" s="381">
        <f t="shared" si="33"/>
        <v>42760911</v>
      </c>
      <c r="S93" s="403">
        <f t="shared" ref="S93:S106" si="41">R93-Q93</f>
        <v>0</v>
      </c>
      <c r="T93" s="382">
        <f t="shared" si="3"/>
        <v>0</v>
      </c>
      <c r="U93" s="382"/>
      <c r="V93" s="382">
        <f t="shared" si="4"/>
        <v>0</v>
      </c>
    </row>
    <row r="94" spans="1:23" ht="31.5" x14ac:dyDescent="0.25">
      <c r="A94" s="387" t="s">
        <v>330</v>
      </c>
      <c r="B94" s="387" t="s">
        <v>60</v>
      </c>
      <c r="C94" s="387" t="s">
        <v>100</v>
      </c>
      <c r="D94" s="392" t="s">
        <v>187</v>
      </c>
      <c r="E94" s="461">
        <f t="shared" si="40"/>
        <v>5873500</v>
      </c>
      <c r="F94" s="461">
        <v>5873500</v>
      </c>
      <c r="G94" s="461"/>
      <c r="H94" s="1334"/>
      <c r="I94" s="1334"/>
      <c r="J94" s="1334">
        <f t="shared" si="39"/>
        <v>0</v>
      </c>
      <c r="K94" s="1334"/>
      <c r="L94" s="1334"/>
      <c r="M94" s="1334"/>
      <c r="N94" s="1334"/>
      <c r="O94" s="1334"/>
      <c r="P94" s="1334"/>
      <c r="Q94" s="1334">
        <f t="shared" si="38"/>
        <v>5873500</v>
      </c>
      <c r="R94" s="381">
        <f t="shared" si="33"/>
        <v>5873500</v>
      </c>
      <c r="S94" s="403">
        <f t="shared" si="41"/>
        <v>0</v>
      </c>
      <c r="T94" s="382">
        <f t="shared" si="3"/>
        <v>0</v>
      </c>
      <c r="U94" s="382"/>
      <c r="V94" s="382">
        <f t="shared" si="4"/>
        <v>0</v>
      </c>
    </row>
    <row r="95" spans="1:23" ht="15.75" x14ac:dyDescent="0.25">
      <c r="A95" s="387" t="s">
        <v>365</v>
      </c>
      <c r="B95" s="387" t="s">
        <v>366</v>
      </c>
      <c r="C95" s="387" t="s">
        <v>102</v>
      </c>
      <c r="D95" s="392" t="s">
        <v>367</v>
      </c>
      <c r="E95" s="461">
        <f t="shared" si="40"/>
        <v>6245700</v>
      </c>
      <c r="F95" s="461">
        <f>6594600-348900</f>
        <v>6245700</v>
      </c>
      <c r="G95" s="461"/>
      <c r="H95" s="1334"/>
      <c r="I95" s="1334"/>
      <c r="J95" s="1334">
        <f t="shared" si="39"/>
        <v>0</v>
      </c>
      <c r="K95" s="1334"/>
      <c r="L95" s="1334"/>
      <c r="M95" s="1334"/>
      <c r="N95" s="1334"/>
      <c r="O95" s="1334"/>
      <c r="P95" s="1334"/>
      <c r="Q95" s="1334">
        <f t="shared" si="38"/>
        <v>6245700</v>
      </c>
      <c r="R95" s="381">
        <f t="shared" si="33"/>
        <v>6245700</v>
      </c>
      <c r="S95" s="403">
        <f t="shared" si="41"/>
        <v>0</v>
      </c>
      <c r="T95" s="382">
        <f t="shared" si="3"/>
        <v>0</v>
      </c>
      <c r="U95" s="382"/>
      <c r="V95" s="382">
        <f t="shared" si="4"/>
        <v>0</v>
      </c>
    </row>
    <row r="96" spans="1:23" ht="47.25" x14ac:dyDescent="0.25">
      <c r="A96" s="387" t="s">
        <v>331</v>
      </c>
      <c r="B96" s="387" t="s">
        <v>62</v>
      </c>
      <c r="C96" s="387" t="s">
        <v>104</v>
      </c>
      <c r="D96" s="392" t="s">
        <v>105</v>
      </c>
      <c r="E96" s="461">
        <f t="shared" si="40"/>
        <v>32177565</v>
      </c>
      <c r="F96" s="461">
        <v>32177565</v>
      </c>
      <c r="G96" s="461"/>
      <c r="H96" s="1334"/>
      <c r="I96" s="1334"/>
      <c r="J96" s="1334">
        <f t="shared" si="39"/>
        <v>0</v>
      </c>
      <c r="K96" s="1334"/>
      <c r="L96" s="1334"/>
      <c r="M96" s="1334"/>
      <c r="N96" s="1334"/>
      <c r="O96" s="1334"/>
      <c r="P96" s="1334"/>
      <c r="Q96" s="1334">
        <f t="shared" si="38"/>
        <v>32177565</v>
      </c>
      <c r="R96" s="381">
        <f t="shared" si="33"/>
        <v>32177565</v>
      </c>
      <c r="S96" s="403">
        <f t="shared" si="41"/>
        <v>0</v>
      </c>
      <c r="T96" s="382">
        <f t="shared" si="3"/>
        <v>0</v>
      </c>
      <c r="U96" s="382"/>
      <c r="V96" s="382">
        <f t="shared" si="4"/>
        <v>0</v>
      </c>
    </row>
    <row r="97" spans="1:22" ht="15.75" x14ac:dyDescent="0.25">
      <c r="A97" s="387" t="s">
        <v>332</v>
      </c>
      <c r="B97" s="387" t="s">
        <v>101</v>
      </c>
      <c r="C97" s="387" t="s">
        <v>107</v>
      </c>
      <c r="D97" s="392" t="s">
        <v>108</v>
      </c>
      <c r="E97" s="461">
        <f t="shared" si="40"/>
        <v>6674080</v>
      </c>
      <c r="F97" s="461">
        <v>6674080</v>
      </c>
      <c r="G97" s="461"/>
      <c r="H97" s="1334"/>
      <c r="I97" s="1334"/>
      <c r="J97" s="1334">
        <f t="shared" ref="J97:J118" si="42">+K97+N97</f>
        <v>0</v>
      </c>
      <c r="K97" s="1334"/>
      <c r="L97" s="1334"/>
      <c r="M97" s="1334"/>
      <c r="N97" s="1334"/>
      <c r="O97" s="1334"/>
      <c r="P97" s="1334"/>
      <c r="Q97" s="1334">
        <f t="shared" si="38"/>
        <v>6674080</v>
      </c>
      <c r="R97" s="381">
        <f t="shared" si="33"/>
        <v>6674080</v>
      </c>
      <c r="S97" s="403">
        <f t="shared" si="41"/>
        <v>0</v>
      </c>
      <c r="T97" s="382">
        <f t="shared" si="3"/>
        <v>0</v>
      </c>
      <c r="U97" s="382"/>
      <c r="V97" s="382">
        <f t="shared" si="4"/>
        <v>0</v>
      </c>
    </row>
    <row r="98" spans="1:22" ht="31.5" x14ac:dyDescent="0.25">
      <c r="A98" s="387" t="s">
        <v>338</v>
      </c>
      <c r="B98" s="387" t="s">
        <v>339</v>
      </c>
      <c r="C98" s="387" t="s">
        <v>109</v>
      </c>
      <c r="D98" s="392" t="s">
        <v>624</v>
      </c>
      <c r="E98" s="461">
        <f t="shared" si="40"/>
        <v>3824700</v>
      </c>
      <c r="F98" s="461">
        <v>3824700</v>
      </c>
      <c r="G98" s="461"/>
      <c r="H98" s="1334"/>
      <c r="I98" s="1334"/>
      <c r="J98" s="1334">
        <f t="shared" si="42"/>
        <v>0</v>
      </c>
      <c r="K98" s="1334"/>
      <c r="L98" s="1334"/>
      <c r="M98" s="1334"/>
      <c r="N98" s="1334"/>
      <c r="O98" s="1334"/>
      <c r="P98" s="1334"/>
      <c r="Q98" s="1334">
        <f t="shared" si="38"/>
        <v>3824700</v>
      </c>
      <c r="R98" s="381">
        <f t="shared" si="33"/>
        <v>3824700</v>
      </c>
      <c r="S98" s="403">
        <f t="shared" si="41"/>
        <v>0</v>
      </c>
      <c r="T98" s="382">
        <f t="shared" si="3"/>
        <v>0</v>
      </c>
      <c r="U98" s="382"/>
      <c r="V98" s="382">
        <f t="shared" si="4"/>
        <v>0</v>
      </c>
    </row>
    <row r="99" spans="1:22" ht="31.5" x14ac:dyDescent="0.25">
      <c r="A99" s="387" t="s">
        <v>333</v>
      </c>
      <c r="B99" s="387" t="s">
        <v>103</v>
      </c>
      <c r="C99" s="387" t="s">
        <v>111</v>
      </c>
      <c r="D99" s="392" t="s">
        <v>112</v>
      </c>
      <c r="E99" s="461">
        <f t="shared" si="40"/>
        <v>45067280</v>
      </c>
      <c r="F99" s="461">
        <v>45067280</v>
      </c>
      <c r="G99" s="461"/>
      <c r="H99" s="1334"/>
      <c r="I99" s="1334"/>
      <c r="J99" s="1334">
        <f t="shared" si="42"/>
        <v>1116000</v>
      </c>
      <c r="K99" s="1334">
        <v>130000</v>
      </c>
      <c r="L99" s="1334"/>
      <c r="M99" s="1334"/>
      <c r="N99" s="1334">
        <v>986000</v>
      </c>
      <c r="O99" s="1334">
        <v>986000</v>
      </c>
      <c r="P99" s="1334">
        <v>986000</v>
      </c>
      <c r="Q99" s="1334">
        <f t="shared" si="38"/>
        <v>46183280</v>
      </c>
      <c r="R99" s="381">
        <f t="shared" si="33"/>
        <v>46183280</v>
      </c>
      <c r="S99" s="403">
        <f t="shared" si="41"/>
        <v>0</v>
      </c>
      <c r="T99" s="382">
        <f t="shared" si="3"/>
        <v>0</v>
      </c>
      <c r="U99" s="382"/>
      <c r="V99" s="382">
        <f t="shared" si="4"/>
        <v>0</v>
      </c>
    </row>
    <row r="100" spans="1:22" ht="15.75" x14ac:dyDescent="0.25">
      <c r="A100" s="387" t="s">
        <v>334</v>
      </c>
      <c r="B100" s="387" t="s">
        <v>106</v>
      </c>
      <c r="C100" s="387" t="s">
        <v>111</v>
      </c>
      <c r="D100" s="392" t="s">
        <v>340</v>
      </c>
      <c r="E100" s="461">
        <f t="shared" si="40"/>
        <v>891800</v>
      </c>
      <c r="F100" s="461">
        <v>891800</v>
      </c>
      <c r="G100" s="461"/>
      <c r="H100" s="1334"/>
      <c r="I100" s="1334"/>
      <c r="J100" s="1334">
        <f t="shared" si="42"/>
        <v>0</v>
      </c>
      <c r="K100" s="1334"/>
      <c r="L100" s="1334"/>
      <c r="M100" s="1334"/>
      <c r="N100" s="1334"/>
      <c r="O100" s="1334"/>
      <c r="P100" s="1334"/>
      <c r="Q100" s="1334">
        <f t="shared" si="38"/>
        <v>891800</v>
      </c>
      <c r="R100" s="381">
        <f t="shared" si="33"/>
        <v>891800</v>
      </c>
      <c r="S100" s="403">
        <f t="shared" si="41"/>
        <v>0</v>
      </c>
      <c r="T100" s="382">
        <f t="shared" si="3"/>
        <v>0</v>
      </c>
      <c r="U100" s="382"/>
      <c r="V100" s="382">
        <f t="shared" si="4"/>
        <v>0</v>
      </c>
    </row>
    <row r="101" spans="1:22" ht="31.5" x14ac:dyDescent="0.25">
      <c r="A101" s="387" t="s">
        <v>335</v>
      </c>
      <c r="B101" s="387" t="s">
        <v>110</v>
      </c>
      <c r="C101" s="387" t="s">
        <v>128</v>
      </c>
      <c r="D101" s="392" t="s">
        <v>129</v>
      </c>
      <c r="E101" s="461">
        <f t="shared" si="40"/>
        <v>13293265</v>
      </c>
      <c r="F101" s="461">
        <v>13293265</v>
      </c>
      <c r="G101" s="461"/>
      <c r="H101" s="1334"/>
      <c r="I101" s="1334"/>
      <c r="J101" s="1334">
        <f t="shared" si="42"/>
        <v>153800</v>
      </c>
      <c r="K101" s="1334"/>
      <c r="L101" s="1334"/>
      <c r="M101" s="1334"/>
      <c r="N101" s="1334">
        <v>153800</v>
      </c>
      <c r="O101" s="1334">
        <v>153800</v>
      </c>
      <c r="P101" s="1334">
        <v>153800</v>
      </c>
      <c r="Q101" s="1334">
        <f t="shared" si="38"/>
        <v>13447065</v>
      </c>
      <c r="R101" s="381">
        <f t="shared" si="33"/>
        <v>13447065</v>
      </c>
      <c r="S101" s="403">
        <f t="shared" si="41"/>
        <v>0</v>
      </c>
      <c r="T101" s="382">
        <f t="shared" si="3"/>
        <v>0</v>
      </c>
      <c r="U101" s="382"/>
      <c r="V101" s="382">
        <f t="shared" si="4"/>
        <v>0</v>
      </c>
    </row>
    <row r="102" spans="1:22" ht="31.5" hidden="1" x14ac:dyDescent="0.25">
      <c r="A102" s="387" t="s">
        <v>344</v>
      </c>
      <c r="B102" s="387" t="s">
        <v>345</v>
      </c>
      <c r="C102" s="387" t="s">
        <v>128</v>
      </c>
      <c r="D102" s="566" t="s">
        <v>690</v>
      </c>
      <c r="E102" s="491">
        <f>F102+I102</f>
        <v>0</v>
      </c>
      <c r="F102" s="491"/>
      <c r="G102" s="491"/>
      <c r="H102" s="491"/>
      <c r="I102" s="491"/>
      <c r="J102" s="491">
        <f>+K102+N102</f>
        <v>0</v>
      </c>
      <c r="K102" s="493"/>
      <c r="L102" s="493"/>
      <c r="M102" s="493"/>
      <c r="N102" s="491"/>
      <c r="O102" s="493"/>
      <c r="P102" s="493"/>
      <c r="Q102" s="491">
        <f>+J102+E102</f>
        <v>0</v>
      </c>
      <c r="R102" s="381">
        <f t="shared" si="33"/>
        <v>0</v>
      </c>
      <c r="S102" s="403">
        <f t="shared" si="41"/>
        <v>0</v>
      </c>
      <c r="T102" s="382">
        <f t="shared" si="3"/>
        <v>0</v>
      </c>
      <c r="U102" s="382"/>
      <c r="V102" s="382">
        <f t="shared" si="4"/>
        <v>0</v>
      </c>
    </row>
    <row r="103" spans="1:22" s="182" customFormat="1" ht="31.5" hidden="1" x14ac:dyDescent="0.25">
      <c r="A103" s="659" t="s">
        <v>346</v>
      </c>
      <c r="B103" s="659" t="s">
        <v>347</v>
      </c>
      <c r="C103" s="678" t="s">
        <v>128</v>
      </c>
      <c r="D103" s="679" t="s">
        <v>348</v>
      </c>
      <c r="E103" s="680">
        <f>F103+I103</f>
        <v>0</v>
      </c>
      <c r="F103" s="681"/>
      <c r="G103" s="681"/>
      <c r="H103" s="681"/>
      <c r="I103" s="681"/>
      <c r="J103" s="681">
        <f>+K103+N103</f>
        <v>0</v>
      </c>
      <c r="K103" s="682"/>
      <c r="L103" s="682"/>
      <c r="M103" s="682"/>
      <c r="N103" s="681"/>
      <c r="O103" s="682"/>
      <c r="P103" s="682"/>
      <c r="Q103" s="681">
        <f>+J103+E103</f>
        <v>0</v>
      </c>
      <c r="R103" s="381">
        <f t="shared" si="33"/>
        <v>0</v>
      </c>
      <c r="S103" s="170">
        <f t="shared" si="41"/>
        <v>0</v>
      </c>
      <c r="T103" s="382">
        <f t="shared" si="3"/>
        <v>0</v>
      </c>
      <c r="U103" s="296"/>
      <c r="V103" s="382">
        <f t="shared" si="4"/>
        <v>0</v>
      </c>
    </row>
    <row r="104" spans="1:22" ht="31.5" x14ac:dyDescent="0.25">
      <c r="A104" s="387" t="s">
        <v>341</v>
      </c>
      <c r="B104" s="387" t="s">
        <v>342</v>
      </c>
      <c r="C104" s="387" t="s">
        <v>128</v>
      </c>
      <c r="D104" s="566" t="s">
        <v>343</v>
      </c>
      <c r="E104" s="491">
        <f t="shared" si="40"/>
        <v>10767710</v>
      </c>
      <c r="F104" s="491">
        <v>10767710</v>
      </c>
      <c r="G104" s="491"/>
      <c r="H104" s="492"/>
      <c r="I104" s="492"/>
      <c r="J104" s="492">
        <f t="shared" si="42"/>
        <v>1220000</v>
      </c>
      <c r="K104" s="913">
        <v>100000</v>
      </c>
      <c r="L104" s="913"/>
      <c r="M104" s="913"/>
      <c r="N104" s="492">
        <v>1120000</v>
      </c>
      <c r="O104" s="913">
        <v>1120000</v>
      </c>
      <c r="P104" s="913">
        <v>1120000</v>
      </c>
      <c r="Q104" s="492">
        <f t="shared" ref="Q104:Q118" si="43">+J104+E104</f>
        <v>11987710</v>
      </c>
      <c r="R104" s="381">
        <f t="shared" si="33"/>
        <v>11987710</v>
      </c>
      <c r="S104" s="403">
        <f t="shared" si="41"/>
        <v>0</v>
      </c>
      <c r="T104" s="382">
        <f t="shared" si="3"/>
        <v>0</v>
      </c>
      <c r="U104" s="382"/>
      <c r="V104" s="382">
        <f t="shared" si="4"/>
        <v>0</v>
      </c>
    </row>
    <row r="105" spans="1:22" ht="31.5" x14ac:dyDescent="0.25">
      <c r="A105" s="387" t="s">
        <v>349</v>
      </c>
      <c r="B105" s="387" t="s">
        <v>350</v>
      </c>
      <c r="C105" s="387" t="s">
        <v>128</v>
      </c>
      <c r="D105" s="566" t="s">
        <v>351</v>
      </c>
      <c r="E105" s="491">
        <f>F105+I105</f>
        <v>128600</v>
      </c>
      <c r="F105" s="491">
        <v>128600</v>
      </c>
      <c r="G105" s="491"/>
      <c r="H105" s="492"/>
      <c r="I105" s="492"/>
      <c r="J105" s="492">
        <f t="shared" ref="J105:J112" si="44">+K105+N105</f>
        <v>19032600</v>
      </c>
      <c r="K105" s="913">
        <v>4738600</v>
      </c>
      <c r="L105" s="913"/>
      <c r="M105" s="913"/>
      <c r="N105" s="492">
        <f>21294000-7000000</f>
        <v>14294000</v>
      </c>
      <c r="O105" s="913">
        <f>21294000-7000000</f>
        <v>14294000</v>
      </c>
      <c r="P105" s="913">
        <f>21294000-7000000</f>
        <v>14294000</v>
      </c>
      <c r="Q105" s="492">
        <f t="shared" si="43"/>
        <v>19161200</v>
      </c>
      <c r="R105" s="381">
        <f t="shared" si="33"/>
        <v>19161200</v>
      </c>
      <c r="S105" s="403">
        <f t="shared" si="41"/>
        <v>0</v>
      </c>
      <c r="T105" s="382">
        <f t="shared" si="3"/>
        <v>0</v>
      </c>
      <c r="U105" s="382"/>
      <c r="V105" s="382">
        <f t="shared" si="4"/>
        <v>0</v>
      </c>
    </row>
    <row r="106" spans="1:22" s="257" customFormat="1" ht="15.75" hidden="1" x14ac:dyDescent="0.25">
      <c r="A106" s="614" t="s">
        <v>352</v>
      </c>
      <c r="B106" s="614" t="s">
        <v>220</v>
      </c>
      <c r="C106" s="614" t="s">
        <v>130</v>
      </c>
      <c r="D106" s="617" t="s">
        <v>353</v>
      </c>
      <c r="E106" s="683">
        <f>F106+I106</f>
        <v>0</v>
      </c>
      <c r="F106" s="684"/>
      <c r="G106" s="684"/>
      <c r="H106" s="684"/>
      <c r="I106" s="684"/>
      <c r="J106" s="669">
        <f t="shared" si="44"/>
        <v>0</v>
      </c>
      <c r="K106" s="684"/>
      <c r="L106" s="684"/>
      <c r="M106" s="684"/>
      <c r="N106" s="684"/>
      <c r="O106" s="684"/>
      <c r="P106" s="684"/>
      <c r="Q106" s="669">
        <f t="shared" si="43"/>
        <v>0</v>
      </c>
      <c r="R106" s="381">
        <f t="shared" si="33"/>
        <v>0</v>
      </c>
      <c r="S106" s="148">
        <f t="shared" si="41"/>
        <v>0</v>
      </c>
      <c r="T106" s="382">
        <f t="shared" si="3"/>
        <v>0</v>
      </c>
      <c r="U106" s="296"/>
      <c r="V106" s="382">
        <f t="shared" si="4"/>
        <v>0</v>
      </c>
    </row>
    <row r="107" spans="1:22" s="257" customFormat="1" ht="37.5" x14ac:dyDescent="0.25">
      <c r="A107" s="44" t="s">
        <v>973</v>
      </c>
      <c r="B107" s="44" t="s">
        <v>446</v>
      </c>
      <c r="C107" s="44" t="s">
        <v>411</v>
      </c>
      <c r="D107" s="197" t="s">
        <v>986</v>
      </c>
      <c r="E107" s="491"/>
      <c r="F107" s="212"/>
      <c r="G107" s="212"/>
      <c r="H107" s="1335"/>
      <c r="I107" s="1335"/>
      <c r="J107" s="492">
        <f t="shared" si="44"/>
        <v>1427600</v>
      </c>
      <c r="K107" s="1335"/>
      <c r="L107" s="1335"/>
      <c r="M107" s="1335"/>
      <c r="N107" s="1335">
        <v>1427600</v>
      </c>
      <c r="O107" s="1335">
        <v>1427600</v>
      </c>
      <c r="P107" s="1335">
        <v>1427600</v>
      </c>
      <c r="Q107" s="492">
        <f t="shared" si="43"/>
        <v>1427600</v>
      </c>
      <c r="R107" s="381">
        <f t="shared" si="33"/>
        <v>1427600</v>
      </c>
      <c r="S107" s="148"/>
      <c r="T107" s="382">
        <f t="shared" si="3"/>
        <v>0</v>
      </c>
      <c r="U107" s="296"/>
      <c r="V107" s="382"/>
    </row>
    <row r="108" spans="1:22" s="257" customFormat="1" ht="18.75" x14ac:dyDescent="0.25">
      <c r="A108" s="44" t="s">
        <v>977</v>
      </c>
      <c r="B108" s="44" t="s">
        <v>449</v>
      </c>
      <c r="C108" s="44" t="s">
        <v>411</v>
      </c>
      <c r="D108" s="42" t="s">
        <v>985</v>
      </c>
      <c r="E108" s="491"/>
      <c r="F108" s="212"/>
      <c r="G108" s="212"/>
      <c r="H108" s="1335"/>
      <c r="I108" s="1335"/>
      <c r="J108" s="492">
        <f t="shared" si="44"/>
        <v>858044</v>
      </c>
      <c r="K108" s="1335"/>
      <c r="L108" s="1335"/>
      <c r="M108" s="1335"/>
      <c r="N108" s="1335">
        <v>858044</v>
      </c>
      <c r="O108" s="1335">
        <v>858044</v>
      </c>
      <c r="P108" s="1335">
        <v>858044</v>
      </c>
      <c r="Q108" s="492">
        <f t="shared" si="43"/>
        <v>858044</v>
      </c>
      <c r="R108" s="381">
        <f t="shared" si="33"/>
        <v>858044</v>
      </c>
      <c r="S108" s="148"/>
      <c r="T108" s="382">
        <f t="shared" si="3"/>
        <v>0</v>
      </c>
      <c r="U108" s="296"/>
      <c r="V108" s="382"/>
    </row>
    <row r="109" spans="1:22" s="257" customFormat="1" ht="52.15" customHeight="1" x14ac:dyDescent="0.25">
      <c r="A109" s="387" t="s">
        <v>1015</v>
      </c>
      <c r="B109" s="387" t="s">
        <v>806</v>
      </c>
      <c r="C109" s="387" t="s">
        <v>224</v>
      </c>
      <c r="D109" s="197" t="s">
        <v>1014</v>
      </c>
      <c r="E109" s="491">
        <f>F109+I109</f>
        <v>0</v>
      </c>
      <c r="F109" s="491"/>
      <c r="G109" s="491"/>
      <c r="H109" s="492"/>
      <c r="I109" s="492"/>
      <c r="J109" s="492">
        <f t="shared" si="44"/>
        <v>11401081</v>
      </c>
      <c r="K109" s="492"/>
      <c r="L109" s="492"/>
      <c r="M109" s="492"/>
      <c r="N109" s="492">
        <f>5000000+1701081+4700000</f>
        <v>11401081</v>
      </c>
      <c r="O109" s="492">
        <f>5000000+1701081+4700000</f>
        <v>11401081</v>
      </c>
      <c r="P109" s="492">
        <f>5000000+1701081</f>
        <v>6701081</v>
      </c>
      <c r="Q109" s="492">
        <f t="shared" si="43"/>
        <v>11401081</v>
      </c>
      <c r="R109" s="381">
        <f t="shared" si="33"/>
        <v>11401081</v>
      </c>
      <c r="S109" s="148"/>
      <c r="T109" s="382">
        <f>P110-O110</f>
        <v>-44000</v>
      </c>
      <c r="U109" s="296"/>
      <c r="V109" s="382">
        <f>O110-N110</f>
        <v>0</v>
      </c>
    </row>
    <row r="110" spans="1:22" s="257" customFormat="1" ht="78.75" x14ac:dyDescent="0.25">
      <c r="A110" s="44" t="s">
        <v>852</v>
      </c>
      <c r="B110" s="44" t="s">
        <v>662</v>
      </c>
      <c r="C110" s="44" t="s">
        <v>224</v>
      </c>
      <c r="D110" s="415" t="s">
        <v>663</v>
      </c>
      <c r="E110" s="491">
        <f>F110+I110</f>
        <v>0</v>
      </c>
      <c r="F110" s="212"/>
      <c r="G110" s="212"/>
      <c r="H110" s="1335"/>
      <c r="I110" s="1335"/>
      <c r="J110" s="492">
        <f t="shared" si="44"/>
        <v>44000</v>
      </c>
      <c r="K110" s="1335"/>
      <c r="L110" s="1335"/>
      <c r="M110" s="1335"/>
      <c r="N110" s="1335">
        <f>33000+11000</f>
        <v>44000</v>
      </c>
      <c r="O110" s="1335">
        <f>33000+11000</f>
        <v>44000</v>
      </c>
      <c r="P110" s="1335"/>
      <c r="Q110" s="492">
        <f t="shared" si="43"/>
        <v>44000</v>
      </c>
      <c r="R110" s="381">
        <f t="shared" si="33"/>
        <v>44000</v>
      </c>
      <c r="S110" s="148"/>
      <c r="T110" s="382">
        <f>P112-O112</f>
        <v>0</v>
      </c>
      <c r="U110" s="296"/>
      <c r="V110" s="382">
        <f>O112-N112</f>
        <v>0</v>
      </c>
    </row>
    <row r="111" spans="1:22" s="257" customFormat="1" ht="47.25" x14ac:dyDescent="0.25">
      <c r="A111" s="387" t="s">
        <v>1929</v>
      </c>
      <c r="B111" s="387">
        <v>7380</v>
      </c>
      <c r="C111" s="387" t="s">
        <v>224</v>
      </c>
      <c r="D111" s="1155" t="s">
        <v>1864</v>
      </c>
      <c r="E111" s="461">
        <f>F111+I111</f>
        <v>0</v>
      </c>
      <c r="F111" s="491"/>
      <c r="G111" s="491"/>
      <c r="H111" s="492"/>
      <c r="I111" s="492"/>
      <c r="J111" s="1334">
        <f t="shared" si="44"/>
        <v>1500000</v>
      </c>
      <c r="K111" s="913"/>
      <c r="L111" s="913"/>
      <c r="M111" s="913"/>
      <c r="N111" s="913">
        <v>1500000</v>
      </c>
      <c r="O111" s="913">
        <v>1500000</v>
      </c>
      <c r="P111" s="913"/>
      <c r="Q111" s="1334">
        <f t="shared" si="43"/>
        <v>1500000</v>
      </c>
      <c r="R111" s="381">
        <f t="shared" si="33"/>
        <v>1500000</v>
      </c>
      <c r="S111" s="148"/>
      <c r="T111" s="382"/>
      <c r="U111" s="296"/>
      <c r="V111" s="382"/>
    </row>
    <row r="112" spans="1:22" ht="31.5" hidden="1" x14ac:dyDescent="0.25">
      <c r="A112" s="614" t="s">
        <v>809</v>
      </c>
      <c r="B112" s="614" t="s">
        <v>472</v>
      </c>
      <c r="C112" s="614" t="s">
        <v>224</v>
      </c>
      <c r="D112" s="617" t="s">
        <v>122</v>
      </c>
      <c r="E112" s="683">
        <f>F112+I112</f>
        <v>0</v>
      </c>
      <c r="F112" s="684"/>
      <c r="G112" s="684"/>
      <c r="H112" s="684"/>
      <c r="I112" s="684"/>
      <c r="J112" s="669">
        <f t="shared" si="44"/>
        <v>0</v>
      </c>
      <c r="K112" s="684"/>
      <c r="L112" s="684"/>
      <c r="M112" s="684"/>
      <c r="N112" s="684"/>
      <c r="O112" s="684"/>
      <c r="P112" s="684"/>
      <c r="Q112" s="669">
        <f>+J112+E112</f>
        <v>0</v>
      </c>
      <c r="R112" s="381">
        <f t="shared" si="33"/>
        <v>0</v>
      </c>
      <c r="S112" s="403">
        <f>R113-Q113</f>
        <v>0</v>
      </c>
      <c r="T112" s="382">
        <f t="shared" ref="T112:T177" si="45">P113-O113</f>
        <v>0</v>
      </c>
      <c r="U112" s="382"/>
      <c r="V112" s="382">
        <f>O113-N113</f>
        <v>0</v>
      </c>
    </row>
    <row r="113" spans="1:22" s="257" customFormat="1" ht="63" hidden="1" x14ac:dyDescent="0.25">
      <c r="A113" s="387" t="s">
        <v>354</v>
      </c>
      <c r="B113" s="387" t="s">
        <v>355</v>
      </c>
      <c r="C113" s="387" t="s">
        <v>11</v>
      </c>
      <c r="D113" s="392" t="s">
        <v>356</v>
      </c>
      <c r="E113" s="461">
        <f t="shared" si="40"/>
        <v>0</v>
      </c>
      <c r="F113" s="461"/>
      <c r="G113" s="461"/>
      <c r="H113" s="461"/>
      <c r="I113" s="461"/>
      <c r="J113" s="461">
        <f t="shared" si="42"/>
        <v>0</v>
      </c>
      <c r="K113" s="461"/>
      <c r="L113" s="461"/>
      <c r="M113" s="461"/>
      <c r="N113" s="461"/>
      <c r="O113" s="461"/>
      <c r="P113" s="461"/>
      <c r="Q113" s="461">
        <f t="shared" si="43"/>
        <v>0</v>
      </c>
      <c r="R113" s="381">
        <f t="shared" si="33"/>
        <v>0</v>
      </c>
      <c r="S113" s="170">
        <f>R115-Q115</f>
        <v>0</v>
      </c>
      <c r="T113" s="382">
        <f>P115-O115</f>
        <v>0</v>
      </c>
      <c r="U113" s="296"/>
      <c r="V113" s="382">
        <f>O115-N115</f>
        <v>0</v>
      </c>
    </row>
    <row r="114" spans="1:22" s="257" customFormat="1" ht="141.75" hidden="1" x14ac:dyDescent="0.25">
      <c r="A114" s="44" t="s">
        <v>1045</v>
      </c>
      <c r="B114" s="44" t="s">
        <v>1047</v>
      </c>
      <c r="C114" s="44" t="s">
        <v>11</v>
      </c>
      <c r="D114" s="42" t="s">
        <v>1044</v>
      </c>
      <c r="E114" s="212">
        <f>F114+I114</f>
        <v>0</v>
      </c>
      <c r="F114" s="212"/>
      <c r="G114" s="212"/>
      <c r="H114" s="212"/>
      <c r="I114" s="212"/>
      <c r="J114" s="212">
        <f t="shared" si="42"/>
        <v>0</v>
      </c>
      <c r="K114" s="212"/>
      <c r="L114" s="212"/>
      <c r="M114" s="212"/>
      <c r="N114" s="212"/>
      <c r="O114" s="212"/>
      <c r="P114" s="212"/>
      <c r="Q114" s="212">
        <f t="shared" si="43"/>
        <v>0</v>
      </c>
      <c r="R114" s="381">
        <f t="shared" si="33"/>
        <v>0</v>
      </c>
      <c r="S114" s="170"/>
      <c r="T114" s="382"/>
      <c r="U114" s="296"/>
      <c r="V114" s="382"/>
    </row>
    <row r="115" spans="1:22" s="257" customFormat="1" ht="47.25" hidden="1" x14ac:dyDescent="0.25">
      <c r="A115" s="44" t="s">
        <v>357</v>
      </c>
      <c r="B115" s="44" t="s">
        <v>358</v>
      </c>
      <c r="C115" s="44" t="s">
        <v>11</v>
      </c>
      <c r="D115" s="42" t="s">
        <v>359</v>
      </c>
      <c r="E115" s="212">
        <f t="shared" si="40"/>
        <v>0</v>
      </c>
      <c r="F115" s="212"/>
      <c r="G115" s="212"/>
      <c r="H115" s="212"/>
      <c r="I115" s="212"/>
      <c r="J115" s="212">
        <f t="shared" si="42"/>
        <v>0</v>
      </c>
      <c r="K115" s="212"/>
      <c r="L115" s="212"/>
      <c r="M115" s="212"/>
      <c r="N115" s="212"/>
      <c r="O115" s="212"/>
      <c r="P115" s="212"/>
      <c r="Q115" s="212">
        <f t="shared" si="43"/>
        <v>0</v>
      </c>
      <c r="R115" s="381">
        <f t="shared" si="33"/>
        <v>0</v>
      </c>
      <c r="S115" s="170"/>
      <c r="T115" s="382">
        <f t="shared" si="45"/>
        <v>-9000000</v>
      </c>
      <c r="U115" s="296"/>
      <c r="V115" s="382"/>
    </row>
    <row r="116" spans="1:22" ht="78.75" x14ac:dyDescent="0.25">
      <c r="A116" s="44" t="s">
        <v>1001</v>
      </c>
      <c r="B116" s="44" t="s">
        <v>1002</v>
      </c>
      <c r="C116" s="44" t="s">
        <v>11</v>
      </c>
      <c r="D116" s="42" t="s">
        <v>1003</v>
      </c>
      <c r="E116" s="212">
        <f>F116+I116</f>
        <v>42082100</v>
      </c>
      <c r="F116" s="212">
        <f>28054700+14027400</f>
        <v>42082100</v>
      </c>
      <c r="G116" s="212"/>
      <c r="H116" s="1335"/>
      <c r="I116" s="1335"/>
      <c r="J116" s="1335">
        <f t="shared" si="42"/>
        <v>9000000</v>
      </c>
      <c r="K116" s="1335"/>
      <c r="L116" s="1335"/>
      <c r="M116" s="1335"/>
      <c r="N116" s="1335">
        <v>9000000</v>
      </c>
      <c r="O116" s="1335">
        <v>9000000</v>
      </c>
      <c r="P116" s="1335"/>
      <c r="Q116" s="1335">
        <f t="shared" si="43"/>
        <v>51082100</v>
      </c>
      <c r="R116" s="381">
        <f t="shared" si="33"/>
        <v>51082100</v>
      </c>
      <c r="S116" s="403">
        <f>R117-Q117</f>
        <v>0</v>
      </c>
      <c r="T116" s="382">
        <f t="shared" si="45"/>
        <v>0</v>
      </c>
      <c r="U116" s="382"/>
      <c r="V116" s="382">
        <f>O117-N117</f>
        <v>0</v>
      </c>
    </row>
    <row r="117" spans="1:22" s="31" customFormat="1" ht="78.75" hidden="1" x14ac:dyDescent="0.25">
      <c r="A117" s="664" t="s">
        <v>360</v>
      </c>
      <c r="B117" s="664" t="s">
        <v>361</v>
      </c>
      <c r="C117" s="664" t="s">
        <v>11</v>
      </c>
      <c r="D117" s="685" t="s">
        <v>362</v>
      </c>
      <c r="E117" s="686">
        <f t="shared" si="40"/>
        <v>0</v>
      </c>
      <c r="F117" s="686"/>
      <c r="G117" s="686"/>
      <c r="H117" s="686"/>
      <c r="I117" s="686"/>
      <c r="J117" s="686">
        <f t="shared" si="42"/>
        <v>0</v>
      </c>
      <c r="K117" s="686"/>
      <c r="L117" s="686"/>
      <c r="M117" s="686"/>
      <c r="N117" s="686"/>
      <c r="O117" s="686"/>
      <c r="P117" s="686"/>
      <c r="Q117" s="686">
        <f t="shared" si="43"/>
        <v>0</v>
      </c>
      <c r="R117" s="381">
        <f t="shared" si="33"/>
        <v>0</v>
      </c>
      <c r="S117" s="170">
        <f>R118-Q118</f>
        <v>0</v>
      </c>
      <c r="T117" s="382">
        <f t="shared" si="45"/>
        <v>0</v>
      </c>
      <c r="U117" s="296"/>
      <c r="V117" s="382">
        <f>O118-N118</f>
        <v>0</v>
      </c>
    </row>
    <row r="118" spans="1:22" s="404" customFormat="1" ht="15.75" hidden="1" x14ac:dyDescent="0.25">
      <c r="A118" s="166" t="s">
        <v>363</v>
      </c>
      <c r="B118" s="255">
        <v>9770</v>
      </c>
      <c r="C118" s="166" t="s">
        <v>11</v>
      </c>
      <c r="D118" s="146" t="s">
        <v>364</v>
      </c>
      <c r="E118" s="634">
        <f t="shared" si="40"/>
        <v>0</v>
      </c>
      <c r="F118" s="635"/>
      <c r="G118" s="635"/>
      <c r="H118" s="635"/>
      <c r="I118" s="635"/>
      <c r="J118" s="634">
        <f t="shared" si="42"/>
        <v>0</v>
      </c>
      <c r="K118" s="635"/>
      <c r="L118" s="635"/>
      <c r="M118" s="635"/>
      <c r="N118" s="635"/>
      <c r="O118" s="635"/>
      <c r="P118" s="635"/>
      <c r="Q118" s="634">
        <f t="shared" si="43"/>
        <v>0</v>
      </c>
      <c r="R118" s="381">
        <f t="shared" si="33"/>
        <v>0</v>
      </c>
      <c r="S118" s="403">
        <f>R119-Q119</f>
        <v>0</v>
      </c>
      <c r="T118" s="382">
        <f t="shared" si="45"/>
        <v>0</v>
      </c>
      <c r="U118" s="382"/>
      <c r="V118" s="382">
        <f t="shared" ref="V118:V182" si="46">O119-N119</f>
        <v>0</v>
      </c>
    </row>
    <row r="119" spans="1:22" s="407" customFormat="1" ht="47.25" x14ac:dyDescent="0.25">
      <c r="A119" s="402" t="s">
        <v>368</v>
      </c>
      <c r="B119" s="402"/>
      <c r="C119" s="402"/>
      <c r="D119" s="394" t="s">
        <v>1575</v>
      </c>
      <c r="E119" s="916">
        <f>E125+E126+E127+E138+E135+E136+E124+E123+E128+E148+E139+E134++E142+E143+E152+E137+E129+E130+E131+E132+E146++E140+E122+E147+E133+E149+E150+E141+E144+E151+E145+E121</f>
        <v>336025521</v>
      </c>
      <c r="F119" s="916">
        <f t="shared" ref="F119:Q119" si="47">F125+F126+F127+F138+F135+F136+F124+F123+F128+F148+F139+F134++F142+F143+F152+F137+F129+F130+F131+F132+F146++F140+F122+F147+F133+F149+F150+F141+F144+F151+F145+F121</f>
        <v>276756622</v>
      </c>
      <c r="G119" s="916">
        <f t="shared" si="47"/>
        <v>151502300</v>
      </c>
      <c r="H119" s="1330">
        <f t="shared" si="47"/>
        <v>30029080</v>
      </c>
      <c r="I119" s="1330">
        <f t="shared" si="47"/>
        <v>59268899</v>
      </c>
      <c r="J119" s="1330">
        <f t="shared" si="47"/>
        <v>50261879</v>
      </c>
      <c r="K119" s="1330">
        <f t="shared" si="47"/>
        <v>48925100</v>
      </c>
      <c r="L119" s="1330">
        <f t="shared" si="47"/>
        <v>0</v>
      </c>
      <c r="M119" s="1330">
        <f t="shared" si="47"/>
        <v>0</v>
      </c>
      <c r="N119" s="1330">
        <f t="shared" si="47"/>
        <v>1336779</v>
      </c>
      <c r="O119" s="1330">
        <f t="shared" si="47"/>
        <v>1336779</v>
      </c>
      <c r="P119" s="1330">
        <f t="shared" si="47"/>
        <v>1336779</v>
      </c>
      <c r="Q119" s="1330">
        <f t="shared" si="47"/>
        <v>386287400</v>
      </c>
      <c r="R119" s="381">
        <f t="shared" si="33"/>
        <v>386287400</v>
      </c>
      <c r="S119" s="403">
        <f>R120-Q120</f>
        <v>0</v>
      </c>
      <c r="T119" s="382">
        <f t="shared" si="45"/>
        <v>0</v>
      </c>
      <c r="U119" s="382"/>
      <c r="V119" s="382">
        <f t="shared" si="46"/>
        <v>0</v>
      </c>
    </row>
    <row r="120" spans="1:22" s="410" customFormat="1" ht="47.25" x14ac:dyDescent="0.25">
      <c r="A120" s="402" t="s">
        <v>369</v>
      </c>
      <c r="B120" s="402"/>
      <c r="C120" s="402"/>
      <c r="D120" s="394" t="s">
        <v>1575</v>
      </c>
      <c r="E120" s="916">
        <f>SUM(E121:E152)</f>
        <v>336025521</v>
      </c>
      <c r="F120" s="916">
        <f t="shared" ref="F120:Q120" si="48">SUM(F121:F152)</f>
        <v>276756622</v>
      </c>
      <c r="G120" s="916">
        <f t="shared" si="48"/>
        <v>151502300</v>
      </c>
      <c r="H120" s="1330">
        <f t="shared" si="48"/>
        <v>30029080</v>
      </c>
      <c r="I120" s="1330">
        <f t="shared" si="48"/>
        <v>59268899</v>
      </c>
      <c r="J120" s="1330">
        <f t="shared" si="48"/>
        <v>50261879</v>
      </c>
      <c r="K120" s="1330">
        <f t="shared" si="48"/>
        <v>48925100</v>
      </c>
      <c r="L120" s="1330">
        <f t="shared" si="48"/>
        <v>0</v>
      </c>
      <c r="M120" s="1330">
        <f t="shared" si="48"/>
        <v>0</v>
      </c>
      <c r="N120" s="1330">
        <f t="shared" si="48"/>
        <v>1336779</v>
      </c>
      <c r="O120" s="1330">
        <f t="shared" si="48"/>
        <v>1336779</v>
      </c>
      <c r="P120" s="1330">
        <f t="shared" si="48"/>
        <v>1336779</v>
      </c>
      <c r="Q120" s="1330">
        <f t="shared" si="48"/>
        <v>386287400</v>
      </c>
      <c r="R120" s="381">
        <f t="shared" si="33"/>
        <v>386287400</v>
      </c>
      <c r="S120" s="403"/>
      <c r="T120" s="382">
        <f>P121-O121</f>
        <v>0</v>
      </c>
      <c r="U120" s="382"/>
      <c r="V120" s="382">
        <f>O121-N121</f>
        <v>0</v>
      </c>
    </row>
    <row r="121" spans="1:22" s="410" customFormat="1" ht="31.5" hidden="1" x14ac:dyDescent="0.25">
      <c r="A121" s="664" t="s">
        <v>892</v>
      </c>
      <c r="B121" s="664" t="s">
        <v>318</v>
      </c>
      <c r="C121" s="664" t="s">
        <v>22</v>
      </c>
      <c r="D121" s="685" t="s">
        <v>623</v>
      </c>
      <c r="E121" s="666">
        <f t="shared" ref="E121:E140" si="49">F121+I121</f>
        <v>0</v>
      </c>
      <c r="F121" s="666"/>
      <c r="G121" s="666"/>
      <c r="H121" s="666"/>
      <c r="I121" s="666"/>
      <c r="J121" s="668">
        <f>+K121+N121</f>
        <v>0</v>
      </c>
      <c r="K121" s="687"/>
      <c r="L121" s="687"/>
      <c r="M121" s="687"/>
      <c r="N121" s="668"/>
      <c r="O121" s="666"/>
      <c r="P121" s="666"/>
      <c r="Q121" s="666">
        <f t="shared" ref="Q121:Q138" si="50">+J121+E121</f>
        <v>0</v>
      </c>
      <c r="R121" s="381">
        <f t="shared" si="33"/>
        <v>0</v>
      </c>
      <c r="S121" s="403"/>
      <c r="T121" s="382">
        <f t="shared" si="45"/>
        <v>0</v>
      </c>
      <c r="U121" s="382"/>
      <c r="V121" s="382">
        <f t="shared" si="46"/>
        <v>0</v>
      </c>
    </row>
    <row r="122" spans="1:22" s="147" customFormat="1" ht="47.25" hidden="1" x14ac:dyDescent="0.25">
      <c r="A122" s="387" t="s">
        <v>715</v>
      </c>
      <c r="B122" s="387" t="s">
        <v>716</v>
      </c>
      <c r="C122" s="387" t="s">
        <v>15</v>
      </c>
      <c r="D122" s="408" t="s">
        <v>717</v>
      </c>
      <c r="E122" s="385">
        <f t="shared" si="49"/>
        <v>0</v>
      </c>
      <c r="F122" s="385"/>
      <c r="G122" s="409"/>
      <c r="H122" s="409"/>
      <c r="I122" s="385"/>
      <c r="J122" s="385">
        <f t="shared" ref="J122:J136" si="51">+K122+N122</f>
        <v>0</v>
      </c>
      <c r="K122" s="409"/>
      <c r="L122" s="409"/>
      <c r="M122" s="409"/>
      <c r="N122" s="409"/>
      <c r="O122" s="409"/>
      <c r="P122" s="409"/>
      <c r="Q122" s="385">
        <f t="shared" si="50"/>
        <v>0</v>
      </c>
      <c r="R122" s="381">
        <f t="shared" si="33"/>
        <v>0</v>
      </c>
      <c r="S122" s="170">
        <f>R123-Q123</f>
        <v>0</v>
      </c>
      <c r="T122" s="382">
        <f t="shared" si="45"/>
        <v>0</v>
      </c>
      <c r="U122" s="296"/>
      <c r="V122" s="382">
        <f t="shared" si="46"/>
        <v>0</v>
      </c>
    </row>
    <row r="123" spans="1:22" ht="47.25" hidden="1" x14ac:dyDescent="0.25">
      <c r="A123" s="166" t="s">
        <v>370</v>
      </c>
      <c r="B123" s="166" t="s">
        <v>131</v>
      </c>
      <c r="C123" s="166" t="s">
        <v>18</v>
      </c>
      <c r="D123" s="632" t="s">
        <v>132</v>
      </c>
      <c r="E123" s="627">
        <f t="shared" si="49"/>
        <v>0</v>
      </c>
      <c r="F123" s="627"/>
      <c r="G123" s="636"/>
      <c r="H123" s="636"/>
      <c r="I123" s="627"/>
      <c r="J123" s="627">
        <f t="shared" si="51"/>
        <v>0</v>
      </c>
      <c r="K123" s="636"/>
      <c r="L123" s="636"/>
      <c r="M123" s="636"/>
      <c r="N123" s="636"/>
      <c r="O123" s="636"/>
      <c r="P123" s="636"/>
      <c r="Q123" s="627">
        <f t="shared" si="50"/>
        <v>0</v>
      </c>
      <c r="R123" s="381">
        <f t="shared" si="33"/>
        <v>0</v>
      </c>
      <c r="S123" s="403">
        <f>R124-Q124</f>
        <v>0</v>
      </c>
      <c r="T123" s="382">
        <f t="shared" si="45"/>
        <v>0</v>
      </c>
      <c r="U123" s="382"/>
      <c r="V123" s="382">
        <f t="shared" si="46"/>
        <v>0</v>
      </c>
    </row>
    <row r="124" spans="1:22" ht="31.5" x14ac:dyDescent="0.25">
      <c r="A124" s="387" t="s">
        <v>371</v>
      </c>
      <c r="B124" s="387" t="s">
        <v>133</v>
      </c>
      <c r="C124" s="387" t="s">
        <v>134</v>
      </c>
      <c r="D124" s="392" t="s">
        <v>625</v>
      </c>
      <c r="E124" s="491">
        <f t="shared" si="49"/>
        <v>571200</v>
      </c>
      <c r="F124" s="491">
        <v>571200</v>
      </c>
      <c r="G124" s="491"/>
      <c r="H124" s="492"/>
      <c r="I124" s="492"/>
      <c r="J124" s="492">
        <f t="shared" si="51"/>
        <v>0</v>
      </c>
      <c r="K124" s="913"/>
      <c r="L124" s="913"/>
      <c r="M124" s="913"/>
      <c r="N124" s="492"/>
      <c r="O124" s="913"/>
      <c r="P124" s="913"/>
      <c r="Q124" s="492">
        <f t="shared" si="50"/>
        <v>571200</v>
      </c>
      <c r="R124" s="381">
        <f t="shared" si="33"/>
        <v>571200</v>
      </c>
      <c r="S124" s="403">
        <f>R125-Q125</f>
        <v>0</v>
      </c>
      <c r="T124" s="382">
        <f t="shared" si="45"/>
        <v>0</v>
      </c>
      <c r="U124" s="382"/>
      <c r="V124" s="382">
        <f t="shared" si="46"/>
        <v>0</v>
      </c>
    </row>
    <row r="125" spans="1:22" ht="63" x14ac:dyDescent="0.25">
      <c r="A125" s="387" t="s">
        <v>372</v>
      </c>
      <c r="B125" s="387" t="s">
        <v>135</v>
      </c>
      <c r="C125" s="387" t="s">
        <v>136</v>
      </c>
      <c r="D125" s="392" t="s">
        <v>137</v>
      </c>
      <c r="E125" s="491">
        <f t="shared" si="49"/>
        <v>31056800</v>
      </c>
      <c r="F125" s="491">
        <f>31046800+10000</f>
        <v>31056800</v>
      </c>
      <c r="G125" s="491">
        <v>19345400</v>
      </c>
      <c r="H125" s="492">
        <v>2694400</v>
      </c>
      <c r="I125" s="492"/>
      <c r="J125" s="492">
        <f t="shared" si="51"/>
        <v>2961000</v>
      </c>
      <c r="K125" s="913">
        <v>2961000</v>
      </c>
      <c r="L125" s="913"/>
      <c r="M125" s="913"/>
      <c r="N125" s="492"/>
      <c r="O125" s="492"/>
      <c r="P125" s="492"/>
      <c r="Q125" s="492">
        <f t="shared" si="50"/>
        <v>34017800</v>
      </c>
      <c r="R125" s="381">
        <f t="shared" si="33"/>
        <v>34017800</v>
      </c>
      <c r="S125" s="403"/>
      <c r="T125" s="382">
        <f t="shared" si="45"/>
        <v>0</v>
      </c>
      <c r="U125" s="382"/>
      <c r="V125" s="382">
        <f t="shared" si="46"/>
        <v>0</v>
      </c>
    </row>
    <row r="126" spans="1:22" ht="110.25" x14ac:dyDescent="0.25">
      <c r="A126" s="387" t="s">
        <v>373</v>
      </c>
      <c r="B126" s="387" t="s">
        <v>138</v>
      </c>
      <c r="C126" s="387" t="s">
        <v>139</v>
      </c>
      <c r="D126" s="392" t="s">
        <v>626</v>
      </c>
      <c r="E126" s="491">
        <f t="shared" si="49"/>
        <v>196768050</v>
      </c>
      <c r="F126" s="491">
        <v>196768050</v>
      </c>
      <c r="G126" s="491">
        <v>111371300</v>
      </c>
      <c r="H126" s="492">
        <v>25751400</v>
      </c>
      <c r="I126" s="492"/>
      <c r="J126" s="492">
        <f t="shared" si="51"/>
        <v>45981400</v>
      </c>
      <c r="K126" s="913">
        <v>45964100</v>
      </c>
      <c r="L126" s="913"/>
      <c r="M126" s="913"/>
      <c r="N126" s="492">
        <v>17300</v>
      </c>
      <c r="O126" s="492">
        <v>17300</v>
      </c>
      <c r="P126" s="492">
        <v>17300</v>
      </c>
      <c r="Q126" s="492">
        <f t="shared" si="50"/>
        <v>242749450</v>
      </c>
      <c r="R126" s="381">
        <f t="shared" si="33"/>
        <v>242749450</v>
      </c>
      <c r="S126" s="403">
        <f t="shared" ref="S126:S131" si="52">R127-Q127</f>
        <v>0</v>
      </c>
      <c r="T126" s="382">
        <f t="shared" si="45"/>
        <v>0</v>
      </c>
      <c r="U126" s="382"/>
      <c r="V126" s="382">
        <f t="shared" si="46"/>
        <v>0</v>
      </c>
    </row>
    <row r="127" spans="1:22" ht="31.5" hidden="1" x14ac:dyDescent="0.25">
      <c r="A127" s="654" t="s">
        <v>374</v>
      </c>
      <c r="B127" s="654" t="s">
        <v>140</v>
      </c>
      <c r="C127" s="654" t="s">
        <v>136</v>
      </c>
      <c r="D127" s="667" t="s">
        <v>627</v>
      </c>
      <c r="E127" s="656">
        <f>F127+I127</f>
        <v>0</v>
      </c>
      <c r="F127" s="656">
        <f>19059700-19059700</f>
        <v>0</v>
      </c>
      <c r="G127" s="656">
        <f>10786900-10786900</f>
        <v>0</v>
      </c>
      <c r="H127" s="656">
        <f>1534700-1534700</f>
        <v>0</v>
      </c>
      <c r="I127" s="656"/>
      <c r="J127" s="658">
        <f>+K127+N127</f>
        <v>0</v>
      </c>
      <c r="K127" s="674">
        <f>638400-638400</f>
        <v>0</v>
      </c>
      <c r="L127" s="674">
        <f>253500-253500</f>
        <v>0</v>
      </c>
      <c r="M127" s="674">
        <f>64400-64400</f>
        <v>0</v>
      </c>
      <c r="N127" s="658">
        <f>28100+14000-42100</f>
        <v>0</v>
      </c>
      <c r="O127" s="656">
        <f>14000-14000</f>
        <v>0</v>
      </c>
      <c r="P127" s="656">
        <f>14000-14000</f>
        <v>0</v>
      </c>
      <c r="Q127" s="656">
        <f>+J127+E127</f>
        <v>0</v>
      </c>
      <c r="R127" s="381">
        <f t="shared" si="33"/>
        <v>0</v>
      </c>
      <c r="S127" s="403">
        <f t="shared" si="52"/>
        <v>0</v>
      </c>
      <c r="T127" s="382">
        <f t="shared" si="45"/>
        <v>0</v>
      </c>
      <c r="U127" s="382"/>
      <c r="V127" s="382">
        <f t="shared" si="46"/>
        <v>0</v>
      </c>
    </row>
    <row r="128" spans="1:22" ht="31.5" x14ac:dyDescent="0.25">
      <c r="A128" s="387" t="s">
        <v>375</v>
      </c>
      <c r="B128" s="387" t="s">
        <v>141</v>
      </c>
      <c r="C128" s="387" t="s">
        <v>136</v>
      </c>
      <c r="D128" s="392" t="s">
        <v>376</v>
      </c>
      <c r="E128" s="491">
        <f t="shared" si="49"/>
        <v>3418200</v>
      </c>
      <c r="F128" s="491">
        <v>3418200</v>
      </c>
      <c r="G128" s="491">
        <v>2175000</v>
      </c>
      <c r="H128" s="492">
        <v>561500</v>
      </c>
      <c r="I128" s="492"/>
      <c r="J128" s="492">
        <f t="shared" si="51"/>
        <v>0</v>
      </c>
      <c r="K128" s="913"/>
      <c r="L128" s="913"/>
      <c r="M128" s="913"/>
      <c r="N128" s="492"/>
      <c r="O128" s="913"/>
      <c r="P128" s="913"/>
      <c r="Q128" s="492">
        <f t="shared" si="50"/>
        <v>3418200</v>
      </c>
      <c r="R128" s="381">
        <f t="shared" si="33"/>
        <v>3418200</v>
      </c>
      <c r="S128" s="403">
        <f t="shared" si="52"/>
        <v>0</v>
      </c>
      <c r="T128" s="382">
        <f t="shared" si="45"/>
        <v>0</v>
      </c>
      <c r="U128" s="382"/>
      <c r="V128" s="382">
        <f t="shared" si="46"/>
        <v>0</v>
      </c>
    </row>
    <row r="129" spans="1:22" ht="78.75" x14ac:dyDescent="0.25">
      <c r="A129" s="387" t="s">
        <v>701</v>
      </c>
      <c r="B129" s="387" t="s">
        <v>258</v>
      </c>
      <c r="C129" s="387" t="s">
        <v>15</v>
      </c>
      <c r="D129" s="566" t="s">
        <v>971</v>
      </c>
      <c r="E129" s="491">
        <f t="shared" si="49"/>
        <v>1560700</v>
      </c>
      <c r="F129" s="491">
        <v>1560700</v>
      </c>
      <c r="G129" s="491">
        <v>867900</v>
      </c>
      <c r="H129" s="492">
        <v>197000</v>
      </c>
      <c r="I129" s="492"/>
      <c r="J129" s="492">
        <f t="shared" si="51"/>
        <v>0</v>
      </c>
      <c r="K129" s="492"/>
      <c r="L129" s="492"/>
      <c r="M129" s="492"/>
      <c r="N129" s="492"/>
      <c r="O129" s="492"/>
      <c r="P129" s="492"/>
      <c r="Q129" s="492">
        <f t="shared" si="50"/>
        <v>1560700</v>
      </c>
      <c r="R129" s="381">
        <f t="shared" si="33"/>
        <v>1560700</v>
      </c>
      <c r="S129" s="403">
        <f t="shared" si="52"/>
        <v>0</v>
      </c>
      <c r="T129" s="382">
        <f t="shared" si="45"/>
        <v>0</v>
      </c>
      <c r="U129" s="382"/>
      <c r="V129" s="382">
        <f t="shared" si="46"/>
        <v>0</v>
      </c>
    </row>
    <row r="130" spans="1:22" ht="31.5" x14ac:dyDescent="0.25">
      <c r="A130" s="387" t="s">
        <v>702</v>
      </c>
      <c r="B130" s="387" t="s">
        <v>418</v>
      </c>
      <c r="C130" s="387" t="s">
        <v>15</v>
      </c>
      <c r="D130" s="392" t="s">
        <v>1216</v>
      </c>
      <c r="E130" s="491">
        <f t="shared" si="49"/>
        <v>2874700</v>
      </c>
      <c r="F130" s="491">
        <f>2874700+104258-104258</f>
        <v>2874700</v>
      </c>
      <c r="G130" s="491">
        <f>1812400+85458-85458</f>
        <v>1812400</v>
      </c>
      <c r="H130" s="492">
        <v>140900</v>
      </c>
      <c r="I130" s="492"/>
      <c r="J130" s="492">
        <f t="shared" si="51"/>
        <v>64950</v>
      </c>
      <c r="K130" s="913"/>
      <c r="L130" s="913"/>
      <c r="M130" s="913"/>
      <c r="N130" s="492">
        <v>64950</v>
      </c>
      <c r="O130" s="913">
        <v>64950</v>
      </c>
      <c r="P130" s="913">
        <v>64950</v>
      </c>
      <c r="Q130" s="492">
        <f t="shared" si="50"/>
        <v>2939650</v>
      </c>
      <c r="R130" s="381">
        <f t="shared" si="33"/>
        <v>2939650</v>
      </c>
      <c r="S130" s="305"/>
      <c r="T130" s="382">
        <f t="shared" si="45"/>
        <v>0</v>
      </c>
      <c r="U130" s="382"/>
      <c r="V130" s="382">
        <f t="shared" si="46"/>
        <v>0</v>
      </c>
    </row>
    <row r="131" spans="1:22" ht="47.25" x14ac:dyDescent="0.25">
      <c r="A131" s="387" t="s">
        <v>703</v>
      </c>
      <c r="B131" s="387" t="s">
        <v>420</v>
      </c>
      <c r="C131" s="387" t="s">
        <v>15</v>
      </c>
      <c r="D131" s="388" t="s">
        <v>234</v>
      </c>
      <c r="E131" s="491">
        <f t="shared" si="49"/>
        <v>116400</v>
      </c>
      <c r="F131" s="491">
        <v>116400</v>
      </c>
      <c r="G131" s="491"/>
      <c r="H131" s="492"/>
      <c r="I131" s="492"/>
      <c r="J131" s="492">
        <f t="shared" si="51"/>
        <v>0</v>
      </c>
      <c r="K131" s="913"/>
      <c r="L131" s="913"/>
      <c r="M131" s="913"/>
      <c r="N131" s="492"/>
      <c r="O131" s="913"/>
      <c r="P131" s="913"/>
      <c r="Q131" s="492">
        <f t="shared" si="50"/>
        <v>116400</v>
      </c>
      <c r="R131" s="381">
        <f t="shared" si="33"/>
        <v>116400</v>
      </c>
      <c r="S131" s="403">
        <f t="shared" si="52"/>
        <v>0</v>
      </c>
      <c r="T131" s="382">
        <f t="shared" si="45"/>
        <v>0</v>
      </c>
      <c r="U131" s="382"/>
      <c r="V131" s="382">
        <f t="shared" si="46"/>
        <v>0</v>
      </c>
    </row>
    <row r="132" spans="1:22" s="406" customFormat="1" ht="15.75" x14ac:dyDescent="0.25">
      <c r="A132" s="387" t="s">
        <v>704</v>
      </c>
      <c r="B132" s="387" t="s">
        <v>421</v>
      </c>
      <c r="C132" s="387" t="s">
        <v>15</v>
      </c>
      <c r="D132" s="392" t="s">
        <v>147</v>
      </c>
      <c r="E132" s="491">
        <f t="shared" si="49"/>
        <v>280000</v>
      </c>
      <c r="F132" s="491">
        <v>280000</v>
      </c>
      <c r="G132" s="491"/>
      <c r="H132" s="492"/>
      <c r="I132" s="492"/>
      <c r="J132" s="492">
        <f t="shared" si="51"/>
        <v>0</v>
      </c>
      <c r="K132" s="913"/>
      <c r="L132" s="913"/>
      <c r="M132" s="913"/>
      <c r="N132" s="492"/>
      <c r="O132" s="913"/>
      <c r="P132" s="913"/>
      <c r="Q132" s="492">
        <f t="shared" si="50"/>
        <v>280000</v>
      </c>
      <c r="R132" s="381">
        <f t="shared" si="33"/>
        <v>280000</v>
      </c>
      <c r="S132" s="431"/>
      <c r="T132" s="382">
        <f t="shared" si="45"/>
        <v>0</v>
      </c>
      <c r="U132" s="460"/>
      <c r="V132" s="382">
        <f t="shared" si="46"/>
        <v>0</v>
      </c>
    </row>
    <row r="133" spans="1:22" s="147" customFormat="1" ht="78.75" hidden="1" x14ac:dyDescent="0.25">
      <c r="A133" s="688" t="s">
        <v>732</v>
      </c>
      <c r="B133" s="688" t="s">
        <v>261</v>
      </c>
      <c r="C133" s="688" t="s">
        <v>15</v>
      </c>
      <c r="D133" s="689" t="s">
        <v>731</v>
      </c>
      <c r="E133" s="690">
        <f t="shared" si="49"/>
        <v>0</v>
      </c>
      <c r="F133" s="690"/>
      <c r="G133" s="690"/>
      <c r="H133" s="690"/>
      <c r="I133" s="690"/>
      <c r="J133" s="690">
        <f t="shared" si="51"/>
        <v>0</v>
      </c>
      <c r="K133" s="691"/>
      <c r="L133" s="691"/>
      <c r="M133" s="691"/>
      <c r="N133" s="690"/>
      <c r="O133" s="691"/>
      <c r="P133" s="691"/>
      <c r="Q133" s="690">
        <f>+J133+E133</f>
        <v>0</v>
      </c>
      <c r="R133" s="381">
        <f t="shared" si="33"/>
        <v>0</v>
      </c>
      <c r="S133" s="170">
        <f>R134-Q134</f>
        <v>0</v>
      </c>
      <c r="T133" s="382">
        <f t="shared" si="45"/>
        <v>0</v>
      </c>
      <c r="U133" s="296"/>
      <c r="V133" s="382">
        <f t="shared" si="46"/>
        <v>0</v>
      </c>
    </row>
    <row r="134" spans="1:22" ht="94.5" hidden="1" x14ac:dyDescent="0.25">
      <c r="A134" s="166" t="s">
        <v>377</v>
      </c>
      <c r="B134" s="166" t="s">
        <v>262</v>
      </c>
      <c r="C134" s="166" t="s">
        <v>136</v>
      </c>
      <c r="D134" s="632" t="s">
        <v>378</v>
      </c>
      <c r="E134" s="637">
        <f t="shared" si="49"/>
        <v>0</v>
      </c>
      <c r="F134" s="637"/>
      <c r="G134" s="637"/>
      <c r="H134" s="637"/>
      <c r="I134" s="637"/>
      <c r="J134" s="637">
        <f t="shared" si="51"/>
        <v>0</v>
      </c>
      <c r="K134" s="638"/>
      <c r="L134" s="638"/>
      <c r="M134" s="638"/>
      <c r="N134" s="637"/>
      <c r="O134" s="638"/>
      <c r="P134" s="638"/>
      <c r="Q134" s="637">
        <f>+J134+E134</f>
        <v>0</v>
      </c>
      <c r="R134" s="381">
        <f t="shared" si="33"/>
        <v>0</v>
      </c>
      <c r="S134" s="403">
        <f>R135-Q135</f>
        <v>0</v>
      </c>
      <c r="T134" s="382">
        <f t="shared" si="45"/>
        <v>0</v>
      </c>
      <c r="U134" s="382"/>
      <c r="V134" s="382">
        <f t="shared" si="46"/>
        <v>0</v>
      </c>
    </row>
    <row r="135" spans="1:22" ht="63" x14ac:dyDescent="0.25">
      <c r="A135" s="387" t="s">
        <v>379</v>
      </c>
      <c r="B135" s="387" t="s">
        <v>380</v>
      </c>
      <c r="C135" s="387" t="s">
        <v>136</v>
      </c>
      <c r="D135" s="392" t="s">
        <v>381</v>
      </c>
      <c r="E135" s="491">
        <f t="shared" si="49"/>
        <v>1561100</v>
      </c>
      <c r="F135" s="491">
        <v>1561100</v>
      </c>
      <c r="G135" s="491"/>
      <c r="H135" s="492"/>
      <c r="I135" s="492"/>
      <c r="J135" s="492">
        <f t="shared" si="51"/>
        <v>0</v>
      </c>
      <c r="K135" s="913"/>
      <c r="L135" s="913"/>
      <c r="M135" s="913"/>
      <c r="N135" s="492"/>
      <c r="O135" s="913"/>
      <c r="P135" s="913"/>
      <c r="Q135" s="492">
        <f>+J135+E135</f>
        <v>1561100</v>
      </c>
      <c r="R135" s="381">
        <f t="shared" si="33"/>
        <v>1561100</v>
      </c>
      <c r="S135" s="403">
        <f>R136-Q136</f>
        <v>0</v>
      </c>
      <c r="T135" s="382">
        <f t="shared" si="45"/>
        <v>0</v>
      </c>
      <c r="U135" s="382"/>
      <c r="V135" s="382">
        <f t="shared" si="46"/>
        <v>0</v>
      </c>
    </row>
    <row r="136" spans="1:22" ht="31.5" x14ac:dyDescent="0.25">
      <c r="A136" s="387" t="s">
        <v>382</v>
      </c>
      <c r="B136" s="387" t="s">
        <v>383</v>
      </c>
      <c r="C136" s="387" t="s">
        <v>136</v>
      </c>
      <c r="D136" s="392" t="s">
        <v>628</v>
      </c>
      <c r="E136" s="491">
        <f t="shared" si="49"/>
        <v>1000</v>
      </c>
      <c r="F136" s="491">
        <v>1000</v>
      </c>
      <c r="G136" s="491"/>
      <c r="H136" s="492"/>
      <c r="I136" s="492"/>
      <c r="J136" s="492">
        <f t="shared" si="51"/>
        <v>0</v>
      </c>
      <c r="K136" s="913"/>
      <c r="L136" s="913"/>
      <c r="M136" s="913"/>
      <c r="N136" s="492"/>
      <c r="O136" s="913"/>
      <c r="P136" s="913"/>
      <c r="Q136" s="492">
        <f>+J136+E136</f>
        <v>1000</v>
      </c>
      <c r="R136" s="381">
        <f t="shared" si="33"/>
        <v>1000</v>
      </c>
      <c r="S136" s="403"/>
      <c r="T136" s="382">
        <f t="shared" si="45"/>
        <v>0</v>
      </c>
      <c r="U136" s="382"/>
      <c r="V136" s="382">
        <f t="shared" si="46"/>
        <v>0</v>
      </c>
    </row>
    <row r="137" spans="1:22" ht="63" x14ac:dyDescent="0.25">
      <c r="A137" s="387" t="s">
        <v>653</v>
      </c>
      <c r="B137" s="387" t="s">
        <v>461</v>
      </c>
      <c r="C137" s="387" t="s">
        <v>134</v>
      </c>
      <c r="D137" s="392" t="s">
        <v>683</v>
      </c>
      <c r="E137" s="491">
        <f t="shared" si="49"/>
        <v>49972</v>
      </c>
      <c r="F137" s="491">
        <v>49972</v>
      </c>
      <c r="G137" s="491"/>
      <c r="H137" s="491"/>
      <c r="I137" s="491"/>
      <c r="J137" s="491">
        <f>K137+N137</f>
        <v>0</v>
      </c>
      <c r="K137" s="493"/>
      <c r="L137" s="493"/>
      <c r="M137" s="493"/>
      <c r="N137" s="491"/>
      <c r="O137" s="493"/>
      <c r="P137" s="493"/>
      <c r="Q137" s="491">
        <f t="shared" si="50"/>
        <v>49972</v>
      </c>
      <c r="R137" s="381">
        <f t="shared" si="33"/>
        <v>49972</v>
      </c>
      <c r="S137" s="403">
        <f>R138-Q138</f>
        <v>0</v>
      </c>
      <c r="T137" s="382">
        <f t="shared" si="45"/>
        <v>0</v>
      </c>
      <c r="U137" s="382"/>
      <c r="V137" s="382">
        <f t="shared" si="46"/>
        <v>0</v>
      </c>
    </row>
    <row r="138" spans="1:22" s="185" customFormat="1" ht="47.25" x14ac:dyDescent="0.25">
      <c r="A138" s="387" t="s">
        <v>384</v>
      </c>
      <c r="B138" s="387" t="s">
        <v>125</v>
      </c>
      <c r="C138" s="387" t="s">
        <v>9</v>
      </c>
      <c r="D138" s="408" t="s">
        <v>142</v>
      </c>
      <c r="E138" s="491">
        <f t="shared" si="49"/>
        <v>19985400</v>
      </c>
      <c r="F138" s="491">
        <f>19881142+104258</f>
        <v>19985400</v>
      </c>
      <c r="G138" s="491">
        <f>14873700-85458+85458</f>
        <v>14873700</v>
      </c>
      <c r="H138" s="492">
        <v>586200</v>
      </c>
      <c r="I138" s="492"/>
      <c r="J138" s="492">
        <f>+K138+N138</f>
        <v>0</v>
      </c>
      <c r="K138" s="913"/>
      <c r="L138" s="913"/>
      <c r="M138" s="913"/>
      <c r="N138" s="492"/>
      <c r="O138" s="913"/>
      <c r="P138" s="913"/>
      <c r="Q138" s="492">
        <f t="shared" si="50"/>
        <v>19985400</v>
      </c>
      <c r="R138" s="381">
        <f t="shared" si="33"/>
        <v>19985400</v>
      </c>
      <c r="S138" s="170">
        <f>R139-Q139</f>
        <v>0</v>
      </c>
      <c r="T138" s="382">
        <f t="shared" si="45"/>
        <v>0</v>
      </c>
      <c r="U138" s="296"/>
      <c r="V138" s="382">
        <f t="shared" si="46"/>
        <v>0</v>
      </c>
    </row>
    <row r="139" spans="1:22" s="185" customFormat="1" ht="315" x14ac:dyDescent="0.25">
      <c r="A139" s="615" t="s">
        <v>389</v>
      </c>
      <c r="B139" s="615" t="s">
        <v>390</v>
      </c>
      <c r="C139" s="615" t="s">
        <v>56</v>
      </c>
      <c r="D139" s="616" t="s">
        <v>824</v>
      </c>
      <c r="E139" s="666">
        <f t="shared" si="49"/>
        <v>0</v>
      </c>
      <c r="F139" s="697"/>
      <c r="G139" s="697"/>
      <c r="H139" s="697"/>
      <c r="I139" s="697"/>
      <c r="J139" s="1351">
        <f>+K139+N139</f>
        <v>1237279</v>
      </c>
      <c r="K139" s="1352"/>
      <c r="L139" s="1353"/>
      <c r="M139" s="1353"/>
      <c r="N139" s="1351">
        <v>1237279</v>
      </c>
      <c r="O139" s="1351">
        <v>1237279</v>
      </c>
      <c r="P139" s="1351">
        <v>1237279</v>
      </c>
      <c r="Q139" s="1351">
        <f>J139+E139</f>
        <v>1237279</v>
      </c>
      <c r="R139" s="381">
        <f t="shared" si="33"/>
        <v>1237279</v>
      </c>
      <c r="S139" s="170"/>
      <c r="T139" s="382">
        <f t="shared" si="45"/>
        <v>0</v>
      </c>
      <c r="U139" s="296"/>
      <c r="V139" s="382">
        <f t="shared" si="46"/>
        <v>0</v>
      </c>
    </row>
    <row r="140" spans="1:22" s="185" customFormat="1" ht="267.75" hidden="1" x14ac:dyDescent="0.25">
      <c r="A140" s="181" t="s">
        <v>711</v>
      </c>
      <c r="B140" s="181" t="s">
        <v>712</v>
      </c>
      <c r="C140" s="181" t="s">
        <v>56</v>
      </c>
      <c r="D140" s="248" t="s">
        <v>830</v>
      </c>
      <c r="E140" s="385">
        <f t="shared" si="49"/>
        <v>0</v>
      </c>
      <c r="F140" s="52"/>
      <c r="G140" s="52"/>
      <c r="H140" s="52"/>
      <c r="I140" s="52"/>
      <c r="J140" s="487">
        <f>K140+N140</f>
        <v>0</v>
      </c>
      <c r="K140" s="488"/>
      <c r="L140" s="489"/>
      <c r="M140" s="489"/>
      <c r="N140" s="487"/>
      <c r="O140" s="487"/>
      <c r="P140" s="487"/>
      <c r="Q140" s="487">
        <f>J140</f>
        <v>0</v>
      </c>
      <c r="R140" s="381">
        <f t="shared" si="33"/>
        <v>0</v>
      </c>
      <c r="S140" s="170"/>
      <c r="T140" s="382">
        <f t="shared" si="45"/>
        <v>0</v>
      </c>
      <c r="U140" s="296"/>
      <c r="V140" s="382">
        <f t="shared" si="46"/>
        <v>0</v>
      </c>
    </row>
    <row r="141" spans="1:22" ht="252" hidden="1" x14ac:dyDescent="0.25">
      <c r="A141" s="247" t="s">
        <v>838</v>
      </c>
      <c r="B141" s="247" t="s">
        <v>839</v>
      </c>
      <c r="C141" s="247" t="s">
        <v>56</v>
      </c>
      <c r="D141" s="639" t="s">
        <v>840</v>
      </c>
      <c r="E141" s="252"/>
      <c r="F141" s="252"/>
      <c r="G141" s="252"/>
      <c r="H141" s="252"/>
      <c r="I141" s="252"/>
      <c r="J141" s="640">
        <f>K141+N141</f>
        <v>0</v>
      </c>
      <c r="K141" s="641"/>
      <c r="L141" s="642"/>
      <c r="M141" s="642"/>
      <c r="N141" s="640"/>
      <c r="O141" s="640"/>
      <c r="P141" s="640"/>
      <c r="Q141" s="640">
        <f>J141</f>
        <v>0</v>
      </c>
      <c r="R141" s="381">
        <f t="shared" si="33"/>
        <v>0</v>
      </c>
      <c r="S141" s="403">
        <f>R142-Q142</f>
        <v>0</v>
      </c>
      <c r="T141" s="382">
        <f t="shared" si="45"/>
        <v>0</v>
      </c>
      <c r="U141" s="382"/>
      <c r="V141" s="382">
        <f t="shared" si="46"/>
        <v>0</v>
      </c>
    </row>
    <row r="142" spans="1:22" ht="47.25" x14ac:dyDescent="0.25">
      <c r="A142" s="387" t="s">
        <v>386</v>
      </c>
      <c r="B142" s="387" t="s">
        <v>387</v>
      </c>
      <c r="C142" s="387">
        <v>1090</v>
      </c>
      <c r="D142" s="392" t="s">
        <v>388</v>
      </c>
      <c r="E142" s="492">
        <f t="shared" ref="E142:E152" si="53">F142+I142</f>
        <v>1722700</v>
      </c>
      <c r="F142" s="491">
        <v>1722700</v>
      </c>
      <c r="G142" s="491">
        <v>1056600</v>
      </c>
      <c r="H142" s="492">
        <v>97680</v>
      </c>
      <c r="I142" s="492"/>
      <c r="J142" s="492">
        <f>+K142+N142</f>
        <v>17250</v>
      </c>
      <c r="K142" s="913"/>
      <c r="L142" s="913"/>
      <c r="M142" s="913"/>
      <c r="N142" s="492">
        <v>17250</v>
      </c>
      <c r="O142" s="913">
        <v>17250</v>
      </c>
      <c r="P142" s="913">
        <v>17250</v>
      </c>
      <c r="Q142" s="492">
        <f t="shared" ref="Q142:Q152" si="54">+J142+E142</f>
        <v>1739950</v>
      </c>
      <c r="R142" s="381">
        <f t="shared" si="33"/>
        <v>1739950</v>
      </c>
      <c r="S142" s="403">
        <f>R143-Q143</f>
        <v>0</v>
      </c>
      <c r="T142" s="382">
        <f t="shared" si="45"/>
        <v>0</v>
      </c>
      <c r="U142" s="382"/>
      <c r="V142" s="382">
        <f t="shared" si="46"/>
        <v>0</v>
      </c>
    </row>
    <row r="143" spans="1:22" ht="31.5" x14ac:dyDescent="0.25">
      <c r="A143" s="387" t="s">
        <v>385</v>
      </c>
      <c r="B143" s="387">
        <v>3242</v>
      </c>
      <c r="C143" s="387">
        <v>1090</v>
      </c>
      <c r="D143" s="392" t="s">
        <v>290</v>
      </c>
      <c r="E143" s="492">
        <f t="shared" si="53"/>
        <v>8170400</v>
      </c>
      <c r="F143" s="491">
        <v>8170400</v>
      </c>
      <c r="G143" s="491"/>
      <c r="H143" s="492"/>
      <c r="I143" s="492"/>
      <c r="J143" s="492">
        <f>+K143+N143</f>
        <v>0</v>
      </c>
      <c r="K143" s="913"/>
      <c r="L143" s="913"/>
      <c r="M143" s="913"/>
      <c r="N143" s="492"/>
      <c r="O143" s="913"/>
      <c r="P143" s="913"/>
      <c r="Q143" s="492">
        <f t="shared" si="54"/>
        <v>8170400</v>
      </c>
      <c r="R143" s="381">
        <f t="shared" si="33"/>
        <v>8170400</v>
      </c>
      <c r="S143" s="403"/>
      <c r="T143" s="382">
        <f t="shared" si="45"/>
        <v>0</v>
      </c>
      <c r="U143" s="382"/>
      <c r="V143" s="382">
        <f t="shared" si="46"/>
        <v>0</v>
      </c>
    </row>
    <row r="144" spans="1:22" ht="110.25" hidden="1" x14ac:dyDescent="0.25">
      <c r="A144" s="688" t="s">
        <v>847</v>
      </c>
      <c r="B144" s="688" t="s">
        <v>848</v>
      </c>
      <c r="C144" s="688" t="s">
        <v>426</v>
      </c>
      <c r="D144" s="689" t="s">
        <v>849</v>
      </c>
      <c r="E144" s="694">
        <f t="shared" si="53"/>
        <v>0</v>
      </c>
      <c r="F144" s="666"/>
      <c r="G144" s="666"/>
      <c r="H144" s="666"/>
      <c r="I144" s="666"/>
      <c r="J144" s="694">
        <f>+K144+N144</f>
        <v>0</v>
      </c>
      <c r="K144" s="695"/>
      <c r="L144" s="695"/>
      <c r="M144" s="695"/>
      <c r="N144" s="666"/>
      <c r="O144" s="695"/>
      <c r="P144" s="695"/>
      <c r="Q144" s="666">
        <f t="shared" si="54"/>
        <v>0</v>
      </c>
      <c r="R144" s="381">
        <f t="shared" si="33"/>
        <v>0</v>
      </c>
      <c r="S144" s="403"/>
      <c r="T144" s="382">
        <f t="shared" si="45"/>
        <v>0</v>
      </c>
      <c r="U144" s="382"/>
      <c r="V144" s="382">
        <f t="shared" si="46"/>
        <v>0</v>
      </c>
    </row>
    <row r="145" spans="1:63" s="254" customFormat="1" ht="31.5" hidden="1" x14ac:dyDescent="0.25">
      <c r="A145" s="622" t="s">
        <v>851</v>
      </c>
      <c r="B145" s="622" t="s">
        <v>472</v>
      </c>
      <c r="C145" s="622" t="s">
        <v>224</v>
      </c>
      <c r="D145" s="146" t="s">
        <v>122</v>
      </c>
      <c r="E145" s="630">
        <f t="shared" si="53"/>
        <v>0</v>
      </c>
      <c r="F145" s="626"/>
      <c r="G145" s="626"/>
      <c r="H145" s="626"/>
      <c r="I145" s="626"/>
      <c r="J145" s="630">
        <f>+K145+N145</f>
        <v>0</v>
      </c>
      <c r="K145" s="643"/>
      <c r="L145" s="643"/>
      <c r="M145" s="643"/>
      <c r="N145" s="626"/>
      <c r="O145" s="643"/>
      <c r="P145" s="643"/>
      <c r="Q145" s="626">
        <f>+J145+E145</f>
        <v>0</v>
      </c>
      <c r="R145" s="381">
        <f t="shared" si="33"/>
        <v>0</v>
      </c>
      <c r="S145" s="170">
        <f>R146-Q146</f>
        <v>0</v>
      </c>
      <c r="T145" s="382">
        <f t="shared" si="45"/>
        <v>0</v>
      </c>
      <c r="U145" s="296"/>
      <c r="V145" s="382">
        <f t="shared" si="46"/>
        <v>0</v>
      </c>
    </row>
    <row r="146" spans="1:63" s="254" customFormat="1" ht="362.25" x14ac:dyDescent="0.25">
      <c r="A146" s="44" t="s">
        <v>705</v>
      </c>
      <c r="B146" s="44" t="s">
        <v>509</v>
      </c>
      <c r="C146" s="44" t="s">
        <v>11</v>
      </c>
      <c r="D146" s="36" t="s">
        <v>825</v>
      </c>
      <c r="E146" s="54">
        <f t="shared" si="53"/>
        <v>26497017</v>
      </c>
      <c r="F146" s="54"/>
      <c r="G146" s="54"/>
      <c r="H146" s="54"/>
      <c r="I146" s="54">
        <f>26506364-1237279+1227932</f>
        <v>26497017</v>
      </c>
      <c r="J146" s="396">
        <f t="shared" ref="J146:J151" si="55">+K146+N146</f>
        <v>0</v>
      </c>
      <c r="K146" s="51"/>
      <c r="L146" s="51"/>
      <c r="M146" s="51"/>
      <c r="N146" s="51"/>
      <c r="O146" s="51"/>
      <c r="P146" s="51"/>
      <c r="Q146" s="54">
        <f t="shared" si="54"/>
        <v>26497017</v>
      </c>
      <c r="R146" s="381">
        <f>+E146+J146</f>
        <v>26497017</v>
      </c>
      <c r="S146" s="170"/>
      <c r="T146" s="382">
        <f t="shared" si="45"/>
        <v>0</v>
      </c>
      <c r="U146" s="296"/>
      <c r="V146" s="382">
        <f t="shared" si="46"/>
        <v>0</v>
      </c>
    </row>
    <row r="147" spans="1:63" s="31" customFormat="1" ht="409.5" x14ac:dyDescent="0.25">
      <c r="A147" s="44" t="s">
        <v>720</v>
      </c>
      <c r="B147" s="44" t="s">
        <v>721</v>
      </c>
      <c r="C147" s="44" t="s">
        <v>11</v>
      </c>
      <c r="D147" s="36" t="s">
        <v>797</v>
      </c>
      <c r="E147" s="51">
        <f t="shared" si="53"/>
        <v>1328900</v>
      </c>
      <c r="F147" s="51"/>
      <c r="G147" s="51"/>
      <c r="H147" s="51"/>
      <c r="I147" s="51">
        <v>1328900</v>
      </c>
      <c r="J147" s="396">
        <f t="shared" si="55"/>
        <v>0</v>
      </c>
      <c r="K147" s="51"/>
      <c r="L147" s="51"/>
      <c r="M147" s="51"/>
      <c r="N147" s="51"/>
      <c r="O147" s="51"/>
      <c r="P147" s="51"/>
      <c r="Q147" s="51">
        <f t="shared" si="54"/>
        <v>1328900</v>
      </c>
      <c r="R147" s="381">
        <f t="shared" ref="R147:R209" si="56">+E147+J147</f>
        <v>1328900</v>
      </c>
      <c r="S147" s="170">
        <f>R148-Q148</f>
        <v>0</v>
      </c>
      <c r="T147" s="382">
        <f t="shared" si="45"/>
        <v>0</v>
      </c>
      <c r="U147" s="296"/>
      <c r="V147" s="382">
        <f t="shared" si="46"/>
        <v>0</v>
      </c>
    </row>
    <row r="148" spans="1:63" s="31" customFormat="1" ht="346.5" x14ac:dyDescent="0.25">
      <c r="A148" s="44" t="s">
        <v>713</v>
      </c>
      <c r="B148" s="44" t="s">
        <v>714</v>
      </c>
      <c r="C148" s="44" t="s">
        <v>11</v>
      </c>
      <c r="D148" s="454" t="s">
        <v>826</v>
      </c>
      <c r="E148" s="54">
        <f t="shared" si="53"/>
        <v>5199182</v>
      </c>
      <c r="F148" s="54"/>
      <c r="G148" s="54"/>
      <c r="H148" s="54"/>
      <c r="I148" s="54">
        <f>4718469+480713</f>
        <v>5199182</v>
      </c>
      <c r="J148" s="396">
        <f t="shared" si="55"/>
        <v>0</v>
      </c>
      <c r="K148" s="490"/>
      <c r="L148" s="490"/>
      <c r="M148" s="490"/>
      <c r="N148" s="54"/>
      <c r="O148" s="490"/>
      <c r="P148" s="490"/>
      <c r="Q148" s="54">
        <f t="shared" si="54"/>
        <v>5199182</v>
      </c>
      <c r="R148" s="381">
        <f t="shared" si="56"/>
        <v>5199182</v>
      </c>
      <c r="S148" s="170"/>
      <c r="T148" s="382">
        <f t="shared" si="45"/>
        <v>0</v>
      </c>
      <c r="U148" s="296"/>
      <c r="V148" s="382">
        <f t="shared" si="46"/>
        <v>0</v>
      </c>
    </row>
    <row r="149" spans="1:63" s="31" customFormat="1" ht="283.5" hidden="1" x14ac:dyDescent="0.25">
      <c r="A149" s="615" t="s">
        <v>827</v>
      </c>
      <c r="B149" s="615" t="s">
        <v>828</v>
      </c>
      <c r="C149" s="615" t="s">
        <v>11</v>
      </c>
      <c r="D149" s="696" t="s">
        <v>829</v>
      </c>
      <c r="E149" s="693">
        <f>F149+I149</f>
        <v>0</v>
      </c>
      <c r="F149" s="697"/>
      <c r="G149" s="697"/>
      <c r="H149" s="697"/>
      <c r="I149" s="697"/>
      <c r="J149" s="694">
        <f t="shared" si="55"/>
        <v>0</v>
      </c>
      <c r="K149" s="698"/>
      <c r="L149" s="698"/>
      <c r="M149" s="698"/>
      <c r="N149" s="697"/>
      <c r="O149" s="698"/>
      <c r="P149" s="698"/>
      <c r="Q149" s="668">
        <f>+J149+E149</f>
        <v>0</v>
      </c>
      <c r="R149" s="381">
        <f t="shared" si="56"/>
        <v>0</v>
      </c>
      <c r="S149" s="170"/>
      <c r="T149" s="382">
        <f t="shared" si="45"/>
        <v>0</v>
      </c>
      <c r="U149" s="296"/>
      <c r="V149" s="382">
        <f t="shared" si="46"/>
        <v>0</v>
      </c>
    </row>
    <row r="150" spans="1:63" s="301" customFormat="1" ht="236.25" hidden="1" x14ac:dyDescent="0.25">
      <c r="A150" s="644" t="s">
        <v>831</v>
      </c>
      <c r="B150" s="644" t="s">
        <v>503</v>
      </c>
      <c r="C150" s="644" t="s">
        <v>11</v>
      </c>
      <c r="D150" s="645" t="s">
        <v>735</v>
      </c>
      <c r="E150" s="631">
        <f t="shared" si="53"/>
        <v>0</v>
      </c>
      <c r="F150" s="635"/>
      <c r="G150" s="635"/>
      <c r="H150" s="635"/>
      <c r="I150" s="635"/>
      <c r="J150" s="630">
        <f t="shared" si="55"/>
        <v>0</v>
      </c>
      <c r="K150" s="646"/>
      <c r="L150" s="647"/>
      <c r="M150" s="647"/>
      <c r="N150" s="635"/>
      <c r="O150" s="647"/>
      <c r="P150" s="647"/>
      <c r="Q150" s="631">
        <f t="shared" si="54"/>
        <v>0</v>
      </c>
      <c r="R150" s="381">
        <f t="shared" si="56"/>
        <v>0</v>
      </c>
      <c r="S150" s="170">
        <f t="shared" ref="S150:S160" si="57">R151-Q151</f>
        <v>0</v>
      </c>
      <c r="T150" s="382">
        <f t="shared" si="45"/>
        <v>0</v>
      </c>
      <c r="U150" s="296"/>
      <c r="V150" s="382">
        <f t="shared" si="46"/>
        <v>0</v>
      </c>
    </row>
    <row r="151" spans="1:63" s="369" customFormat="1" ht="173.25" x14ac:dyDescent="0.25">
      <c r="A151" s="44" t="s">
        <v>850</v>
      </c>
      <c r="B151" s="44" t="s">
        <v>577</v>
      </c>
      <c r="C151" s="44" t="s">
        <v>11</v>
      </c>
      <c r="D151" s="42" t="s">
        <v>1389</v>
      </c>
      <c r="E151" s="205">
        <f>F151+I151</f>
        <v>26243800</v>
      </c>
      <c r="F151" s="205"/>
      <c r="G151" s="205"/>
      <c r="H151" s="54"/>
      <c r="I151" s="490">
        <v>26243800</v>
      </c>
      <c r="J151" s="492">
        <f t="shared" si="55"/>
        <v>0</v>
      </c>
      <c r="K151" s="490"/>
      <c r="L151" s="490"/>
      <c r="M151" s="490"/>
      <c r="N151" s="54"/>
      <c r="O151" s="490"/>
      <c r="P151" s="490"/>
      <c r="Q151" s="54">
        <f>+J151+E151</f>
        <v>26243800</v>
      </c>
      <c r="R151" s="381">
        <f t="shared" si="56"/>
        <v>26243800</v>
      </c>
      <c r="S151" s="431">
        <f t="shared" si="57"/>
        <v>0</v>
      </c>
      <c r="T151" s="382">
        <f t="shared" si="45"/>
        <v>0</v>
      </c>
      <c r="U151" s="460"/>
      <c r="V151" s="382">
        <f t="shared" si="46"/>
        <v>0</v>
      </c>
    </row>
    <row r="152" spans="1:63" s="369" customFormat="1" ht="15.75" x14ac:dyDescent="0.25">
      <c r="A152" s="387" t="s">
        <v>575</v>
      </c>
      <c r="B152" s="387" t="s">
        <v>304</v>
      </c>
      <c r="C152" s="387" t="s">
        <v>11</v>
      </c>
      <c r="D152" s="408" t="s">
        <v>364</v>
      </c>
      <c r="E152" s="491">
        <f t="shared" si="53"/>
        <v>8620000</v>
      </c>
      <c r="F152" s="491">
        <f>8500000+120000</f>
        <v>8620000</v>
      </c>
      <c r="G152" s="491"/>
      <c r="H152" s="492"/>
      <c r="I152" s="492"/>
      <c r="J152" s="492">
        <f>+K152+N152</f>
        <v>0</v>
      </c>
      <c r="K152" s="913"/>
      <c r="L152" s="913"/>
      <c r="M152" s="913"/>
      <c r="N152" s="492"/>
      <c r="O152" s="913"/>
      <c r="P152" s="913"/>
      <c r="Q152" s="492">
        <f t="shared" si="54"/>
        <v>8620000</v>
      </c>
      <c r="R152" s="381">
        <f t="shared" si="56"/>
        <v>8620000</v>
      </c>
      <c r="S152" s="403">
        <f t="shared" si="57"/>
        <v>0</v>
      </c>
      <c r="T152" s="382">
        <f t="shared" si="45"/>
        <v>0</v>
      </c>
      <c r="U152" s="382"/>
      <c r="V152" s="382">
        <f t="shared" si="46"/>
        <v>0</v>
      </c>
    </row>
    <row r="153" spans="1:63" s="369" customFormat="1" ht="31.5" x14ac:dyDescent="0.25">
      <c r="A153" s="402" t="s">
        <v>394</v>
      </c>
      <c r="B153" s="402"/>
      <c r="C153" s="402"/>
      <c r="D153" s="394" t="s">
        <v>1414</v>
      </c>
      <c r="E153" s="916">
        <f t="shared" ref="E153:Q153" si="58">E155+E156+E157+E159+E158</f>
        <v>10123800</v>
      </c>
      <c r="F153" s="916">
        <f t="shared" si="58"/>
        <v>10123800</v>
      </c>
      <c r="G153" s="916">
        <f t="shared" si="58"/>
        <v>5919300</v>
      </c>
      <c r="H153" s="1330">
        <f t="shared" si="58"/>
        <v>698220</v>
      </c>
      <c r="I153" s="1330">
        <f t="shared" si="58"/>
        <v>0</v>
      </c>
      <c r="J153" s="1330">
        <f t="shared" si="58"/>
        <v>500000</v>
      </c>
      <c r="K153" s="1330">
        <f t="shared" si="58"/>
        <v>0</v>
      </c>
      <c r="L153" s="1330">
        <f t="shared" si="58"/>
        <v>0</v>
      </c>
      <c r="M153" s="1330">
        <f t="shared" si="58"/>
        <v>0</v>
      </c>
      <c r="N153" s="1330">
        <f t="shared" si="58"/>
        <v>500000</v>
      </c>
      <c r="O153" s="1330">
        <f t="shared" si="58"/>
        <v>500000</v>
      </c>
      <c r="P153" s="1330">
        <f t="shared" si="58"/>
        <v>500000</v>
      </c>
      <c r="Q153" s="1330">
        <f t="shared" si="58"/>
        <v>10623800</v>
      </c>
      <c r="R153" s="381">
        <f t="shared" si="56"/>
        <v>10623800</v>
      </c>
      <c r="S153" s="403">
        <f t="shared" si="57"/>
        <v>0</v>
      </c>
      <c r="T153" s="382">
        <f t="shared" si="45"/>
        <v>0</v>
      </c>
      <c r="U153" s="382"/>
      <c r="V153" s="382">
        <f t="shared" si="46"/>
        <v>0</v>
      </c>
    </row>
    <row r="154" spans="1:63" s="369" customFormat="1" ht="31.5" x14ac:dyDescent="0.25">
      <c r="A154" s="402" t="s">
        <v>395</v>
      </c>
      <c r="B154" s="402"/>
      <c r="C154" s="402"/>
      <c r="D154" s="394" t="s">
        <v>1414</v>
      </c>
      <c r="E154" s="916">
        <f>SUM(E155:E159)</f>
        <v>10123800</v>
      </c>
      <c r="F154" s="916">
        <f t="shared" ref="F154:Q154" si="59">SUM(F155:F159)</f>
        <v>10123800</v>
      </c>
      <c r="G154" s="916">
        <f t="shared" si="59"/>
        <v>5919300</v>
      </c>
      <c r="H154" s="1330">
        <f t="shared" si="59"/>
        <v>698220</v>
      </c>
      <c r="I154" s="1330">
        <f t="shared" si="59"/>
        <v>0</v>
      </c>
      <c r="J154" s="1330">
        <f t="shared" si="59"/>
        <v>500000</v>
      </c>
      <c r="K154" s="1330">
        <f t="shared" si="59"/>
        <v>0</v>
      </c>
      <c r="L154" s="1330">
        <f t="shared" si="59"/>
        <v>0</v>
      </c>
      <c r="M154" s="1330">
        <f t="shared" si="59"/>
        <v>0</v>
      </c>
      <c r="N154" s="1330">
        <f t="shared" si="59"/>
        <v>500000</v>
      </c>
      <c r="O154" s="1330">
        <f t="shared" si="59"/>
        <v>500000</v>
      </c>
      <c r="P154" s="1330">
        <f t="shared" si="59"/>
        <v>500000</v>
      </c>
      <c r="Q154" s="1330">
        <f t="shared" si="59"/>
        <v>10623800</v>
      </c>
      <c r="R154" s="381">
        <f t="shared" si="56"/>
        <v>10623800</v>
      </c>
      <c r="S154" s="403">
        <f t="shared" si="57"/>
        <v>0</v>
      </c>
      <c r="T154" s="382">
        <f t="shared" si="45"/>
        <v>0</v>
      </c>
      <c r="U154" s="382"/>
      <c r="V154" s="382">
        <f t="shared" si="46"/>
        <v>0</v>
      </c>
    </row>
    <row r="155" spans="1:63" s="369" customFormat="1" ht="78.75" x14ac:dyDescent="0.25">
      <c r="A155" s="387" t="s">
        <v>396</v>
      </c>
      <c r="B155" s="387" t="s">
        <v>258</v>
      </c>
      <c r="C155" s="387" t="s">
        <v>15</v>
      </c>
      <c r="D155" s="566" t="s">
        <v>971</v>
      </c>
      <c r="E155" s="491">
        <f>F155+I155</f>
        <v>9786920</v>
      </c>
      <c r="F155" s="491">
        <f>9744600+42320</f>
        <v>9786920</v>
      </c>
      <c r="G155" s="491">
        <v>5919300</v>
      </c>
      <c r="H155" s="492">
        <f>606600+91620</f>
        <v>698220</v>
      </c>
      <c r="I155" s="492"/>
      <c r="J155" s="492">
        <f>+K155+N155</f>
        <v>0</v>
      </c>
      <c r="K155" s="913"/>
      <c r="L155" s="913"/>
      <c r="M155" s="913"/>
      <c r="N155" s="492"/>
      <c r="O155" s="913"/>
      <c r="P155" s="913"/>
      <c r="Q155" s="492">
        <f>+J155+E155</f>
        <v>9786920</v>
      </c>
      <c r="R155" s="381">
        <f t="shared" si="56"/>
        <v>9786920</v>
      </c>
      <c r="S155" s="403">
        <f t="shared" si="57"/>
        <v>0</v>
      </c>
      <c r="T155" s="382">
        <f t="shared" si="45"/>
        <v>0</v>
      </c>
      <c r="U155" s="382"/>
      <c r="V155" s="382">
        <f t="shared" si="46"/>
        <v>0</v>
      </c>
    </row>
    <row r="156" spans="1:63" s="369" customFormat="1" ht="31.5" x14ac:dyDescent="0.25">
      <c r="A156" s="387" t="s">
        <v>397</v>
      </c>
      <c r="B156" s="387" t="s">
        <v>143</v>
      </c>
      <c r="C156" s="387" t="s">
        <v>15</v>
      </c>
      <c r="D156" s="566" t="s">
        <v>5</v>
      </c>
      <c r="E156" s="491">
        <f>F156+I156</f>
        <v>212600</v>
      </c>
      <c r="F156" s="491">
        <v>212600</v>
      </c>
      <c r="G156" s="491"/>
      <c r="H156" s="492"/>
      <c r="I156" s="492"/>
      <c r="J156" s="492">
        <f>+K156+N156</f>
        <v>0</v>
      </c>
      <c r="K156" s="913"/>
      <c r="L156" s="913"/>
      <c r="M156" s="913"/>
      <c r="N156" s="492"/>
      <c r="O156" s="913"/>
      <c r="P156" s="913"/>
      <c r="Q156" s="492">
        <f>+J156+E156</f>
        <v>212600</v>
      </c>
      <c r="R156" s="381">
        <f t="shared" si="56"/>
        <v>212600</v>
      </c>
      <c r="S156" s="403">
        <f t="shared" si="57"/>
        <v>0</v>
      </c>
      <c r="T156" s="382">
        <f t="shared" si="45"/>
        <v>0</v>
      </c>
      <c r="U156" s="382"/>
      <c r="V156" s="382">
        <f t="shared" si="46"/>
        <v>0</v>
      </c>
    </row>
    <row r="157" spans="1:63" s="301" customFormat="1" ht="47.25" x14ac:dyDescent="0.25">
      <c r="A157" s="664" t="s">
        <v>398</v>
      </c>
      <c r="B157" s="664" t="s">
        <v>259</v>
      </c>
      <c r="C157" s="664" t="s">
        <v>15</v>
      </c>
      <c r="D157" s="685" t="s">
        <v>171</v>
      </c>
      <c r="E157" s="918">
        <f>F157+I157</f>
        <v>124280</v>
      </c>
      <c r="F157" s="918">
        <f>166600-42320</f>
        <v>124280</v>
      </c>
      <c r="G157" s="918"/>
      <c r="H157" s="1336"/>
      <c r="I157" s="1336"/>
      <c r="J157" s="1336">
        <f>+K157+N157</f>
        <v>0</v>
      </c>
      <c r="K157" s="1337"/>
      <c r="L157" s="1337"/>
      <c r="M157" s="1337"/>
      <c r="N157" s="1336"/>
      <c r="O157" s="1337"/>
      <c r="P157" s="1337"/>
      <c r="Q157" s="1336">
        <f>+J157+E157</f>
        <v>124280</v>
      </c>
      <c r="R157" s="381">
        <f t="shared" si="56"/>
        <v>124280</v>
      </c>
      <c r="S157" s="170">
        <f t="shared" si="57"/>
        <v>0</v>
      </c>
      <c r="T157" s="382">
        <f t="shared" si="45"/>
        <v>0</v>
      </c>
      <c r="U157" s="296"/>
      <c r="V157" s="382">
        <f t="shared" si="46"/>
        <v>0</v>
      </c>
    </row>
    <row r="158" spans="1:63" s="369" customFormat="1" ht="141.75" hidden="1" x14ac:dyDescent="0.25">
      <c r="A158" s="247" t="s">
        <v>576</v>
      </c>
      <c r="B158" s="247" t="s">
        <v>577</v>
      </c>
      <c r="C158" s="247" t="s">
        <v>11</v>
      </c>
      <c r="D158" s="628" t="s">
        <v>798</v>
      </c>
      <c r="E158" s="627">
        <f>F158+I158</f>
        <v>0</v>
      </c>
      <c r="F158" s="637"/>
      <c r="G158" s="637"/>
      <c r="H158" s="637"/>
      <c r="I158" s="638"/>
      <c r="J158" s="627">
        <f>+K158+N158</f>
        <v>0</v>
      </c>
      <c r="K158" s="638"/>
      <c r="L158" s="638"/>
      <c r="M158" s="638"/>
      <c r="N158" s="637"/>
      <c r="O158" s="638"/>
      <c r="P158" s="638"/>
      <c r="Q158" s="627">
        <f>+J158+E158</f>
        <v>0</v>
      </c>
      <c r="R158" s="381">
        <f t="shared" si="56"/>
        <v>0</v>
      </c>
      <c r="S158" s="403">
        <f t="shared" si="57"/>
        <v>0</v>
      </c>
      <c r="T158" s="382">
        <f t="shared" si="45"/>
        <v>0</v>
      </c>
      <c r="U158" s="382"/>
      <c r="V158" s="382">
        <f t="shared" si="46"/>
        <v>0</v>
      </c>
    </row>
    <row r="159" spans="1:63" s="526" customFormat="1" ht="15.75" x14ac:dyDescent="0.25">
      <c r="A159" s="387" t="s">
        <v>399</v>
      </c>
      <c r="B159" s="387" t="s">
        <v>304</v>
      </c>
      <c r="C159" s="387" t="s">
        <v>11</v>
      </c>
      <c r="D159" s="392" t="s">
        <v>305</v>
      </c>
      <c r="E159" s="491">
        <f>F159+I159</f>
        <v>0</v>
      </c>
      <c r="F159" s="491"/>
      <c r="G159" s="491"/>
      <c r="H159" s="492"/>
      <c r="I159" s="492"/>
      <c r="J159" s="492">
        <f>+K159+N159</f>
        <v>500000</v>
      </c>
      <c r="K159" s="913"/>
      <c r="L159" s="913"/>
      <c r="M159" s="913"/>
      <c r="N159" s="492">
        <v>500000</v>
      </c>
      <c r="O159" s="492">
        <v>500000</v>
      </c>
      <c r="P159" s="492">
        <v>500000</v>
      </c>
      <c r="Q159" s="492">
        <f>+J159+E159</f>
        <v>500000</v>
      </c>
      <c r="R159" s="381">
        <f t="shared" si="56"/>
        <v>500000</v>
      </c>
      <c r="S159" s="524">
        <f t="shared" si="57"/>
        <v>0</v>
      </c>
      <c r="T159" s="382">
        <f t="shared" si="45"/>
        <v>0</v>
      </c>
      <c r="U159" s="525"/>
      <c r="V159" s="382">
        <f t="shared" si="46"/>
        <v>-102000</v>
      </c>
    </row>
    <row r="160" spans="1:63" s="526" customFormat="1" ht="47.25" x14ac:dyDescent="0.25">
      <c r="A160" s="173" t="s">
        <v>206</v>
      </c>
      <c r="B160" s="173"/>
      <c r="C160" s="173"/>
      <c r="D160" s="172" t="s">
        <v>885</v>
      </c>
      <c r="E160" s="208">
        <f>E162+E165+E175+E176+E177+E178+E179+E196+E194+E201+E180+E198+E202+E199+E166+E167+E168+E169+E170+E171+E172+E173+E174+E181+E182+E183+E184+E185+E186+E187+E188+E189+E190+E191+E192+E193+E195+E197+E200+E203+E204</f>
        <v>288348789</v>
      </c>
      <c r="F160" s="208">
        <f t="shared" ref="F160:Q160" si="60">F162+F165+F175+F176+F177+F178+F179+F196+F194+F201+F180+F198+F202+F199+F166+F167+F168+F169+F170+F171+F172+F173+F174+F181+F182+F183+F184+F185+F186+F187+F188+F189+F190+F191+F192+F193+F195+F197+F200+F203+F204</f>
        <v>288348789</v>
      </c>
      <c r="G160" s="208">
        <f t="shared" si="60"/>
        <v>89170700</v>
      </c>
      <c r="H160" s="1338">
        <f t="shared" si="60"/>
        <v>6623580</v>
      </c>
      <c r="I160" s="1338">
        <f t="shared" si="60"/>
        <v>0</v>
      </c>
      <c r="J160" s="1338">
        <f t="shared" si="60"/>
        <v>6244533</v>
      </c>
      <c r="K160" s="1338">
        <f t="shared" si="60"/>
        <v>5649525</v>
      </c>
      <c r="L160" s="1338">
        <f t="shared" si="60"/>
        <v>1584550</v>
      </c>
      <c r="M160" s="1338">
        <f t="shared" si="60"/>
        <v>188470</v>
      </c>
      <c r="N160" s="1338">
        <f t="shared" si="60"/>
        <v>595008</v>
      </c>
      <c r="O160" s="1338">
        <f t="shared" si="60"/>
        <v>493008</v>
      </c>
      <c r="P160" s="1338">
        <f t="shared" si="60"/>
        <v>493008</v>
      </c>
      <c r="Q160" s="1338">
        <f t="shared" si="60"/>
        <v>294593322</v>
      </c>
      <c r="R160" s="381">
        <f t="shared" si="56"/>
        <v>294593322</v>
      </c>
      <c r="S160" s="524">
        <f t="shared" si="57"/>
        <v>0</v>
      </c>
      <c r="T160" s="382">
        <f t="shared" si="45"/>
        <v>0</v>
      </c>
      <c r="U160" s="525"/>
      <c r="V160" s="382">
        <f t="shared" si="46"/>
        <v>-102000</v>
      </c>
      <c r="BK160" s="526" t="b">
        <f>дод3!D1=дод3!Q28+дод3!Q29+дод3!Q35+дод3!Q75+дод3!Q76+дод3!Q77+дод3!Q81+дод3!Q113+дод3!Q115+дод3!Q117+дод3!Q118+дод3!Q148+дод3!Q152+дод3!Q159+дод3!Q158+дод3!Q289+дод3!Q300+дод3!Q301+дод3!Q302+дод3!Q303+дод3!Q304+дод3!Q305+дод3!Q306+дод3!Q307+дод3!Q308+дод3!Q309+дод3!Q310+дод3!Q311+дод3!Q313+дод3!Q312+дод3!J262+дод3!Q146+дод3!Q78</f>
        <v>0</v>
      </c>
    </row>
    <row r="161" spans="1:22" ht="47.25" x14ac:dyDescent="0.25">
      <c r="A161" s="173" t="s">
        <v>207</v>
      </c>
      <c r="B161" s="173"/>
      <c r="C161" s="173"/>
      <c r="D161" s="172" t="s">
        <v>885</v>
      </c>
      <c r="E161" s="208">
        <f>SUM(E170:E204)+E162+E165</f>
        <v>288348789</v>
      </c>
      <c r="F161" s="208">
        <f t="shared" ref="F161:Q161" si="61">SUM(F170:F204)+F162+F165</f>
        <v>288348789</v>
      </c>
      <c r="G161" s="208">
        <f t="shared" si="61"/>
        <v>89170700</v>
      </c>
      <c r="H161" s="1338">
        <f t="shared" si="61"/>
        <v>6623580</v>
      </c>
      <c r="I161" s="1338">
        <f t="shared" si="61"/>
        <v>0</v>
      </c>
      <c r="J161" s="1338">
        <f t="shared" si="61"/>
        <v>6244533</v>
      </c>
      <c r="K161" s="1338">
        <f t="shared" si="61"/>
        <v>5649525</v>
      </c>
      <c r="L161" s="1338">
        <f t="shared" si="61"/>
        <v>1584550</v>
      </c>
      <c r="M161" s="1338">
        <f t="shared" si="61"/>
        <v>188470</v>
      </c>
      <c r="N161" s="1338">
        <f t="shared" si="61"/>
        <v>595008</v>
      </c>
      <c r="O161" s="1338">
        <f t="shared" si="61"/>
        <v>493008</v>
      </c>
      <c r="P161" s="1338">
        <f t="shared" si="61"/>
        <v>493008</v>
      </c>
      <c r="Q161" s="1338">
        <f t="shared" si="61"/>
        <v>294593322</v>
      </c>
      <c r="R161" s="381">
        <f t="shared" si="56"/>
        <v>294593322</v>
      </c>
      <c r="S161" s="403">
        <f t="shared" ref="S161:S193" si="62">R162-Q162</f>
        <v>0</v>
      </c>
      <c r="T161" s="382">
        <f t="shared" si="45"/>
        <v>0</v>
      </c>
      <c r="U161" s="382"/>
      <c r="V161" s="382">
        <f t="shared" si="46"/>
        <v>0</v>
      </c>
    </row>
    <row r="162" spans="1:22" ht="31.5" x14ac:dyDescent="0.25">
      <c r="A162" s="387" t="s">
        <v>1217</v>
      </c>
      <c r="B162" s="387" t="s">
        <v>1215</v>
      </c>
      <c r="C162" s="387"/>
      <c r="D162" s="392" t="s">
        <v>932</v>
      </c>
      <c r="E162" s="491">
        <f>F162+I162</f>
        <v>64889997</v>
      </c>
      <c r="F162" s="491">
        <v>64889997</v>
      </c>
      <c r="G162" s="491">
        <f t="shared" ref="G162:P162" si="63">G163+G164</f>
        <v>0</v>
      </c>
      <c r="H162" s="492">
        <f t="shared" si="63"/>
        <v>0</v>
      </c>
      <c r="I162" s="492">
        <f t="shared" si="63"/>
        <v>0</v>
      </c>
      <c r="J162" s="492">
        <f t="shared" si="63"/>
        <v>1910840</v>
      </c>
      <c r="K162" s="492">
        <f t="shared" si="63"/>
        <v>1910840</v>
      </c>
      <c r="L162" s="492">
        <f t="shared" si="63"/>
        <v>0</v>
      </c>
      <c r="M162" s="492">
        <f t="shared" si="63"/>
        <v>0</v>
      </c>
      <c r="N162" s="492">
        <f t="shared" si="63"/>
        <v>0</v>
      </c>
      <c r="O162" s="492">
        <f t="shared" si="63"/>
        <v>0</v>
      </c>
      <c r="P162" s="492">
        <f t="shared" si="63"/>
        <v>0</v>
      </c>
      <c r="Q162" s="492">
        <f t="shared" ref="Q162:Q202" si="64">+J162+E162</f>
        <v>66800837</v>
      </c>
      <c r="R162" s="381">
        <f t="shared" si="56"/>
        <v>66800837</v>
      </c>
      <c r="S162" s="403">
        <f>R165-Q165</f>
        <v>0</v>
      </c>
      <c r="T162" s="382">
        <f>P165-O165</f>
        <v>0</v>
      </c>
      <c r="U162" s="382"/>
      <c r="V162" s="382">
        <f>O165-N165</f>
        <v>0</v>
      </c>
    </row>
    <row r="163" spans="1:22" ht="47.25" x14ac:dyDescent="0.25">
      <c r="A163" s="387" t="s">
        <v>1204</v>
      </c>
      <c r="B163" s="1081">
        <v>1101</v>
      </c>
      <c r="C163" s="387" t="s">
        <v>24</v>
      </c>
      <c r="D163" s="811" t="s">
        <v>1195</v>
      </c>
      <c r="E163" s="491">
        <f>F163+I163</f>
        <v>60767797</v>
      </c>
      <c r="F163" s="491">
        <v>60767797</v>
      </c>
      <c r="G163" s="491"/>
      <c r="H163" s="492"/>
      <c r="I163" s="492"/>
      <c r="J163" s="492">
        <f>+K163+N163</f>
        <v>1910840</v>
      </c>
      <c r="K163" s="913">
        <v>1910840</v>
      </c>
      <c r="L163" s="913"/>
      <c r="M163" s="913"/>
      <c r="N163" s="492"/>
      <c r="O163" s="913"/>
      <c r="P163" s="913"/>
      <c r="Q163" s="492">
        <f t="shared" si="64"/>
        <v>62678637</v>
      </c>
      <c r="R163" s="381">
        <f t="shared" si="56"/>
        <v>62678637</v>
      </c>
      <c r="S163" s="403"/>
      <c r="T163" s="382"/>
      <c r="U163" s="382"/>
      <c r="V163" s="382"/>
    </row>
    <row r="164" spans="1:22" ht="47.25" x14ac:dyDescent="0.25">
      <c r="A164" s="387" t="s">
        <v>1205</v>
      </c>
      <c r="B164" s="1081">
        <v>1102</v>
      </c>
      <c r="C164" s="387" t="s">
        <v>24</v>
      </c>
      <c r="D164" s="811" t="s">
        <v>1196</v>
      </c>
      <c r="E164" s="491">
        <f>F164+I164</f>
        <v>4122200</v>
      </c>
      <c r="F164" s="491">
        <v>4122200</v>
      </c>
      <c r="G164" s="491"/>
      <c r="H164" s="492"/>
      <c r="I164" s="492"/>
      <c r="J164" s="492">
        <f>+K164+N164</f>
        <v>0</v>
      </c>
      <c r="K164" s="913"/>
      <c r="L164" s="913"/>
      <c r="M164" s="913"/>
      <c r="N164" s="492"/>
      <c r="O164" s="913"/>
      <c r="P164" s="913"/>
      <c r="Q164" s="492">
        <f t="shared" si="64"/>
        <v>4122200</v>
      </c>
      <c r="R164" s="381">
        <f t="shared" si="56"/>
        <v>4122200</v>
      </c>
      <c r="S164" s="403"/>
      <c r="T164" s="382"/>
      <c r="U164" s="382"/>
      <c r="V164" s="382"/>
    </row>
    <row r="165" spans="1:22" s="257" customFormat="1" ht="31.5" x14ac:dyDescent="0.25">
      <c r="A165" s="387" t="s">
        <v>180</v>
      </c>
      <c r="B165" s="387" t="s">
        <v>23</v>
      </c>
      <c r="C165" s="387" t="s">
        <v>13</v>
      </c>
      <c r="D165" s="392" t="s">
        <v>306</v>
      </c>
      <c r="E165" s="491">
        <f>F165+I165</f>
        <v>1333700</v>
      </c>
      <c r="F165" s="491">
        <f>1298000+35700</f>
        <v>1333700</v>
      </c>
      <c r="G165" s="491">
        <v>897600</v>
      </c>
      <c r="H165" s="492">
        <v>41000</v>
      </c>
      <c r="I165" s="492"/>
      <c r="J165" s="492">
        <f>+K165+N165</f>
        <v>60000</v>
      </c>
      <c r="K165" s="913">
        <v>60000</v>
      </c>
      <c r="L165" s="913">
        <v>40850</v>
      </c>
      <c r="M165" s="913">
        <v>1370</v>
      </c>
      <c r="N165" s="492"/>
      <c r="O165" s="913"/>
      <c r="P165" s="913"/>
      <c r="Q165" s="492">
        <f t="shared" si="64"/>
        <v>1393700</v>
      </c>
      <c r="R165" s="381">
        <f t="shared" si="56"/>
        <v>1393700</v>
      </c>
      <c r="S165" s="170">
        <f t="shared" si="62"/>
        <v>0</v>
      </c>
      <c r="T165" s="382">
        <f t="shared" si="45"/>
        <v>0</v>
      </c>
      <c r="U165" s="296"/>
      <c r="V165" s="382">
        <f t="shared" si="46"/>
        <v>0</v>
      </c>
    </row>
    <row r="166" spans="1:22" s="257" customFormat="1" ht="47.25" hidden="1" x14ac:dyDescent="0.25">
      <c r="A166" s="615" t="s">
        <v>859</v>
      </c>
      <c r="B166" s="615" t="s">
        <v>258</v>
      </c>
      <c r="C166" s="699" t="s">
        <v>15</v>
      </c>
      <c r="D166" s="700" t="s">
        <v>65</v>
      </c>
      <c r="E166" s="701">
        <f t="shared" ref="E166:E172" si="65">F166+I166</f>
        <v>0</v>
      </c>
      <c r="F166" s="668"/>
      <c r="G166" s="668"/>
      <c r="H166" s="668"/>
      <c r="I166" s="668"/>
      <c r="J166" s="668">
        <f>+K166+N166</f>
        <v>0</v>
      </c>
      <c r="K166" s="668"/>
      <c r="L166" s="668"/>
      <c r="M166" s="668"/>
      <c r="N166" s="668"/>
      <c r="O166" s="668"/>
      <c r="P166" s="668"/>
      <c r="Q166" s="668">
        <f t="shared" si="64"/>
        <v>0</v>
      </c>
      <c r="R166" s="381">
        <f t="shared" si="56"/>
        <v>0</v>
      </c>
      <c r="S166" s="170">
        <f t="shared" si="62"/>
        <v>0</v>
      </c>
      <c r="T166" s="382">
        <f t="shared" si="45"/>
        <v>0</v>
      </c>
      <c r="U166" s="296"/>
      <c r="V166" s="382">
        <f t="shared" si="46"/>
        <v>0</v>
      </c>
    </row>
    <row r="167" spans="1:22" s="257" customFormat="1" ht="47.25" hidden="1" x14ac:dyDescent="0.25">
      <c r="A167" s="44" t="s">
        <v>860</v>
      </c>
      <c r="B167" s="44" t="s">
        <v>418</v>
      </c>
      <c r="C167" s="44" t="s">
        <v>15</v>
      </c>
      <c r="D167" s="42" t="s">
        <v>419</v>
      </c>
      <c r="E167" s="204">
        <f t="shared" si="65"/>
        <v>0</v>
      </c>
      <c r="F167" s="204"/>
      <c r="G167" s="204"/>
      <c r="H167" s="204"/>
      <c r="I167" s="204"/>
      <c r="J167" s="204">
        <f t="shared" ref="J167:J174" si="66">+K167+N167</f>
        <v>0</v>
      </c>
      <c r="K167" s="210"/>
      <c r="L167" s="210"/>
      <c r="M167" s="210"/>
      <c r="N167" s="204"/>
      <c r="O167" s="210"/>
      <c r="P167" s="210"/>
      <c r="Q167" s="204">
        <f t="shared" si="64"/>
        <v>0</v>
      </c>
      <c r="R167" s="381">
        <f t="shared" si="56"/>
        <v>0</v>
      </c>
      <c r="S167" s="170">
        <f t="shared" si="62"/>
        <v>0</v>
      </c>
      <c r="T167" s="382">
        <f t="shared" si="45"/>
        <v>0</v>
      </c>
      <c r="U167" s="296"/>
      <c r="V167" s="382">
        <f t="shared" si="46"/>
        <v>0</v>
      </c>
    </row>
    <row r="168" spans="1:22" s="257" customFormat="1" ht="47.25" hidden="1" x14ac:dyDescent="0.25">
      <c r="A168" s="44" t="s">
        <v>861</v>
      </c>
      <c r="B168" s="44" t="s">
        <v>420</v>
      </c>
      <c r="C168" s="44" t="s">
        <v>15</v>
      </c>
      <c r="D168" s="34" t="s">
        <v>234</v>
      </c>
      <c r="E168" s="204">
        <f t="shared" si="65"/>
        <v>0</v>
      </c>
      <c r="F168" s="204"/>
      <c r="G168" s="204"/>
      <c r="H168" s="204"/>
      <c r="I168" s="204"/>
      <c r="J168" s="204">
        <f t="shared" si="66"/>
        <v>0</v>
      </c>
      <c r="K168" s="210"/>
      <c r="L168" s="210"/>
      <c r="M168" s="210"/>
      <c r="N168" s="204"/>
      <c r="O168" s="210"/>
      <c r="P168" s="210"/>
      <c r="Q168" s="204">
        <f t="shared" si="64"/>
        <v>0</v>
      </c>
      <c r="R168" s="381">
        <f t="shared" si="56"/>
        <v>0</v>
      </c>
      <c r="S168" s="170">
        <f t="shared" si="62"/>
        <v>0</v>
      </c>
      <c r="T168" s="382">
        <f t="shared" si="45"/>
        <v>0</v>
      </c>
      <c r="U168" s="296"/>
      <c r="V168" s="382">
        <f t="shared" si="46"/>
        <v>0</v>
      </c>
    </row>
    <row r="169" spans="1:22" ht="15.75" hidden="1" x14ac:dyDescent="0.25">
      <c r="A169" s="166" t="s">
        <v>862</v>
      </c>
      <c r="B169" s="166" t="s">
        <v>421</v>
      </c>
      <c r="C169" s="166" t="s">
        <v>15</v>
      </c>
      <c r="D169" s="146" t="s">
        <v>147</v>
      </c>
      <c r="E169" s="627">
        <f t="shared" si="65"/>
        <v>0</v>
      </c>
      <c r="F169" s="627"/>
      <c r="G169" s="627"/>
      <c r="H169" s="627"/>
      <c r="I169" s="627"/>
      <c r="J169" s="627">
        <f t="shared" si="66"/>
        <v>0</v>
      </c>
      <c r="K169" s="303"/>
      <c r="L169" s="303"/>
      <c r="M169" s="303"/>
      <c r="N169" s="627"/>
      <c r="O169" s="303"/>
      <c r="P169" s="303"/>
      <c r="Q169" s="627">
        <f t="shared" si="64"/>
        <v>0</v>
      </c>
      <c r="R169" s="381">
        <f t="shared" si="56"/>
        <v>0</v>
      </c>
      <c r="S169" s="403">
        <f t="shared" si="62"/>
        <v>0</v>
      </c>
      <c r="T169" s="382">
        <f t="shared" si="45"/>
        <v>0</v>
      </c>
      <c r="U169" s="382"/>
      <c r="V169" s="382">
        <f t="shared" si="46"/>
        <v>0</v>
      </c>
    </row>
    <row r="170" spans="1:22" ht="47.25" x14ac:dyDescent="0.25">
      <c r="A170" s="387" t="s">
        <v>863</v>
      </c>
      <c r="B170" s="387" t="s">
        <v>259</v>
      </c>
      <c r="C170" s="387" t="s">
        <v>15</v>
      </c>
      <c r="D170" s="392" t="s">
        <v>171</v>
      </c>
      <c r="E170" s="491">
        <f t="shared" si="65"/>
        <v>662600</v>
      </c>
      <c r="F170" s="491">
        <v>662600</v>
      </c>
      <c r="G170" s="491"/>
      <c r="H170" s="492"/>
      <c r="I170" s="492"/>
      <c r="J170" s="492">
        <f t="shared" si="66"/>
        <v>0</v>
      </c>
      <c r="K170" s="913"/>
      <c r="L170" s="913"/>
      <c r="M170" s="913"/>
      <c r="N170" s="492"/>
      <c r="O170" s="913"/>
      <c r="P170" s="913"/>
      <c r="Q170" s="492">
        <f t="shared" si="64"/>
        <v>662600</v>
      </c>
      <c r="R170" s="381">
        <f t="shared" si="56"/>
        <v>662600</v>
      </c>
      <c r="S170" s="403">
        <f t="shared" si="62"/>
        <v>0</v>
      </c>
      <c r="T170" s="382">
        <f t="shared" si="45"/>
        <v>0</v>
      </c>
      <c r="U170" s="382"/>
      <c r="V170" s="382">
        <f t="shared" si="46"/>
        <v>0</v>
      </c>
    </row>
    <row r="171" spans="1:22" s="257" customFormat="1" ht="15.75" x14ac:dyDescent="0.25">
      <c r="A171" s="387" t="s">
        <v>864</v>
      </c>
      <c r="B171" s="387" t="s">
        <v>260</v>
      </c>
      <c r="C171" s="387" t="s">
        <v>15</v>
      </c>
      <c r="D171" s="392" t="s">
        <v>588</v>
      </c>
      <c r="E171" s="491">
        <f t="shared" si="65"/>
        <v>200000</v>
      </c>
      <c r="F171" s="491">
        <v>200000</v>
      </c>
      <c r="G171" s="491"/>
      <c r="H171" s="492"/>
      <c r="I171" s="492"/>
      <c r="J171" s="492">
        <f>+K171+N171</f>
        <v>0</v>
      </c>
      <c r="K171" s="913"/>
      <c r="L171" s="913"/>
      <c r="M171" s="913"/>
      <c r="N171" s="492"/>
      <c r="O171" s="913"/>
      <c r="P171" s="913"/>
      <c r="Q171" s="492">
        <f t="shared" si="64"/>
        <v>200000</v>
      </c>
      <c r="R171" s="381">
        <f t="shared" si="56"/>
        <v>200000</v>
      </c>
      <c r="S171" s="170">
        <f t="shared" si="62"/>
        <v>0</v>
      </c>
      <c r="T171" s="382">
        <f t="shared" si="45"/>
        <v>0</v>
      </c>
      <c r="U171" s="296"/>
      <c r="V171" s="382">
        <f t="shared" si="46"/>
        <v>0</v>
      </c>
    </row>
    <row r="172" spans="1:22" s="257" customFormat="1" ht="78.75" hidden="1" x14ac:dyDescent="0.25">
      <c r="A172" s="615" t="s">
        <v>865</v>
      </c>
      <c r="B172" s="615" t="s">
        <v>261</v>
      </c>
      <c r="C172" s="615" t="s">
        <v>15</v>
      </c>
      <c r="D172" s="616" t="s">
        <v>120</v>
      </c>
      <c r="E172" s="668">
        <f t="shared" si="65"/>
        <v>0</v>
      </c>
      <c r="F172" s="668"/>
      <c r="G172" s="668"/>
      <c r="H172" s="668"/>
      <c r="I172" s="668"/>
      <c r="J172" s="668">
        <f t="shared" si="66"/>
        <v>0</v>
      </c>
      <c r="K172" s="687"/>
      <c r="L172" s="687"/>
      <c r="M172" s="687"/>
      <c r="N172" s="668"/>
      <c r="O172" s="687"/>
      <c r="P172" s="687"/>
      <c r="Q172" s="668">
        <f t="shared" si="64"/>
        <v>0</v>
      </c>
      <c r="R172" s="381">
        <f t="shared" si="56"/>
        <v>0</v>
      </c>
      <c r="S172" s="170">
        <f t="shared" si="62"/>
        <v>0</v>
      </c>
      <c r="T172" s="382">
        <f t="shared" si="45"/>
        <v>0</v>
      </c>
      <c r="U172" s="296"/>
      <c r="V172" s="382">
        <f t="shared" si="46"/>
        <v>0</v>
      </c>
    </row>
    <row r="173" spans="1:22" s="257" customFormat="1" ht="47.25" hidden="1" x14ac:dyDescent="0.25">
      <c r="A173" s="44" t="s">
        <v>866</v>
      </c>
      <c r="B173" s="44" t="s">
        <v>387</v>
      </c>
      <c r="C173" s="44">
        <v>1090</v>
      </c>
      <c r="D173" s="42" t="s">
        <v>388</v>
      </c>
      <c r="E173" s="204">
        <f>+F173+I173</f>
        <v>0</v>
      </c>
      <c r="F173" s="204"/>
      <c r="G173" s="204"/>
      <c r="H173" s="204"/>
      <c r="I173" s="204"/>
      <c r="J173" s="204">
        <f t="shared" si="66"/>
        <v>0</v>
      </c>
      <c r="K173" s="210"/>
      <c r="L173" s="210"/>
      <c r="M173" s="210"/>
      <c r="N173" s="204"/>
      <c r="O173" s="210"/>
      <c r="P173" s="210"/>
      <c r="Q173" s="204">
        <f t="shared" si="64"/>
        <v>0</v>
      </c>
      <c r="R173" s="381">
        <f t="shared" si="56"/>
        <v>0</v>
      </c>
      <c r="S173" s="170">
        <f t="shared" si="62"/>
        <v>0</v>
      </c>
      <c r="T173" s="382">
        <f t="shared" si="45"/>
        <v>0</v>
      </c>
      <c r="U173" s="296"/>
      <c r="V173" s="382">
        <f t="shared" si="46"/>
        <v>0</v>
      </c>
    </row>
    <row r="174" spans="1:22" ht="31.5" hidden="1" x14ac:dyDescent="0.25">
      <c r="A174" s="166" t="s">
        <v>867</v>
      </c>
      <c r="B174" s="166">
        <v>3242</v>
      </c>
      <c r="C174" s="166">
        <v>1090</v>
      </c>
      <c r="D174" s="146" t="s">
        <v>290</v>
      </c>
      <c r="E174" s="627">
        <f>+F174+I174</f>
        <v>0</v>
      </c>
      <c r="F174" s="627"/>
      <c r="G174" s="627"/>
      <c r="H174" s="627"/>
      <c r="I174" s="627"/>
      <c r="J174" s="627">
        <f t="shared" si="66"/>
        <v>0</v>
      </c>
      <c r="K174" s="303"/>
      <c r="L174" s="303"/>
      <c r="M174" s="303"/>
      <c r="N174" s="627"/>
      <c r="O174" s="303"/>
      <c r="P174" s="303"/>
      <c r="Q174" s="627">
        <f t="shared" si="64"/>
        <v>0</v>
      </c>
      <c r="R174" s="381">
        <f t="shared" si="56"/>
        <v>0</v>
      </c>
      <c r="S174" s="403">
        <f t="shared" si="62"/>
        <v>0</v>
      </c>
      <c r="T174" s="382">
        <f t="shared" si="45"/>
        <v>0</v>
      </c>
      <c r="U174" s="382"/>
      <c r="V174" s="382">
        <f t="shared" si="46"/>
        <v>0</v>
      </c>
    </row>
    <row r="175" spans="1:22" ht="15.75" x14ac:dyDescent="0.25">
      <c r="A175" s="387" t="s">
        <v>402</v>
      </c>
      <c r="B175" s="387" t="s">
        <v>403</v>
      </c>
      <c r="C175" s="387" t="s">
        <v>219</v>
      </c>
      <c r="D175" s="392" t="s">
        <v>404</v>
      </c>
      <c r="E175" s="491">
        <f t="shared" ref="E175:E202" si="67">F175+I175</f>
        <v>29023400</v>
      </c>
      <c r="F175" s="491">
        <v>29023400</v>
      </c>
      <c r="G175" s="491"/>
      <c r="H175" s="492"/>
      <c r="I175" s="492"/>
      <c r="J175" s="492">
        <f t="shared" ref="J175:J202" si="68">+K175+N175</f>
        <v>0</v>
      </c>
      <c r="K175" s="913"/>
      <c r="L175" s="913"/>
      <c r="M175" s="913"/>
      <c r="N175" s="492"/>
      <c r="O175" s="492"/>
      <c r="P175" s="492"/>
      <c r="Q175" s="492">
        <f t="shared" si="64"/>
        <v>29023400</v>
      </c>
      <c r="R175" s="381">
        <f t="shared" si="56"/>
        <v>29023400</v>
      </c>
      <c r="S175" s="403">
        <f t="shared" si="62"/>
        <v>0</v>
      </c>
      <c r="T175" s="382">
        <f t="shared" si="45"/>
        <v>0</v>
      </c>
      <c r="U175" s="382"/>
      <c r="V175" s="382">
        <f t="shared" si="46"/>
        <v>0</v>
      </c>
    </row>
    <row r="176" spans="1:22" ht="47.25" x14ac:dyDescent="0.25">
      <c r="A176" s="387" t="s">
        <v>400</v>
      </c>
      <c r="B176" s="387" t="s">
        <v>218</v>
      </c>
      <c r="C176" s="387" t="s">
        <v>221</v>
      </c>
      <c r="D176" s="392" t="s">
        <v>405</v>
      </c>
      <c r="E176" s="491">
        <f t="shared" si="67"/>
        <v>22462800</v>
      </c>
      <c r="F176" s="491">
        <v>22462800</v>
      </c>
      <c r="G176" s="491"/>
      <c r="H176" s="492"/>
      <c r="I176" s="492"/>
      <c r="J176" s="492">
        <f t="shared" si="68"/>
        <v>0</v>
      </c>
      <c r="K176" s="913"/>
      <c r="L176" s="913"/>
      <c r="M176" s="913"/>
      <c r="N176" s="492"/>
      <c r="O176" s="913"/>
      <c r="P176" s="913"/>
      <c r="Q176" s="492">
        <f t="shared" si="64"/>
        <v>22462800</v>
      </c>
      <c r="R176" s="381">
        <f t="shared" si="56"/>
        <v>22462800</v>
      </c>
      <c r="S176" s="403">
        <f t="shared" si="62"/>
        <v>0</v>
      </c>
      <c r="T176" s="382">
        <f t="shared" si="45"/>
        <v>0</v>
      </c>
      <c r="U176" s="382"/>
      <c r="V176" s="382">
        <f t="shared" si="46"/>
        <v>-2000</v>
      </c>
    </row>
    <row r="177" spans="1:22" ht="15.75" x14ac:dyDescent="0.25">
      <c r="A177" s="387" t="s">
        <v>401</v>
      </c>
      <c r="B177" s="387" t="s">
        <v>220</v>
      </c>
      <c r="C177" s="387" t="s">
        <v>130</v>
      </c>
      <c r="D177" s="392" t="s">
        <v>353</v>
      </c>
      <c r="E177" s="491">
        <f t="shared" si="67"/>
        <v>25691900</v>
      </c>
      <c r="F177" s="491">
        <f>25704900-13000</f>
        <v>25691900</v>
      </c>
      <c r="G177" s="491">
        <v>19099400</v>
      </c>
      <c r="H177" s="492">
        <f>1300800+19600+37000</f>
        <v>1357400</v>
      </c>
      <c r="I177" s="492"/>
      <c r="J177" s="492">
        <f t="shared" si="68"/>
        <v>67000</v>
      </c>
      <c r="K177" s="913">
        <v>65000</v>
      </c>
      <c r="L177" s="913">
        <v>40200</v>
      </c>
      <c r="M177" s="913">
        <v>1900</v>
      </c>
      <c r="N177" s="492">
        <v>2000</v>
      </c>
      <c r="O177" s="913"/>
      <c r="P177" s="913"/>
      <c r="Q177" s="492">
        <f t="shared" si="64"/>
        <v>25758900</v>
      </c>
      <c r="R177" s="381">
        <f t="shared" si="56"/>
        <v>25758900</v>
      </c>
      <c r="S177" s="403">
        <f t="shared" si="62"/>
        <v>0</v>
      </c>
      <c r="T177" s="382">
        <f t="shared" si="45"/>
        <v>0</v>
      </c>
      <c r="U177" s="382"/>
      <c r="V177" s="382">
        <f t="shared" si="46"/>
        <v>-65000</v>
      </c>
    </row>
    <row r="178" spans="1:22" ht="15.75" x14ac:dyDescent="0.25">
      <c r="A178" s="387" t="s">
        <v>406</v>
      </c>
      <c r="B178" s="387" t="s">
        <v>407</v>
      </c>
      <c r="C178" s="387" t="s">
        <v>130</v>
      </c>
      <c r="D178" s="392" t="s">
        <v>408</v>
      </c>
      <c r="E178" s="491">
        <f t="shared" si="67"/>
        <v>32665392</v>
      </c>
      <c r="F178" s="491">
        <v>32665392</v>
      </c>
      <c r="G178" s="491">
        <f>19169100+324300</f>
        <v>19493400</v>
      </c>
      <c r="H178" s="492">
        <f>1968900+21000</f>
        <v>1989900</v>
      </c>
      <c r="I178" s="492"/>
      <c r="J178" s="492">
        <f t="shared" si="68"/>
        <v>1322008</v>
      </c>
      <c r="K178" s="913">
        <v>765000</v>
      </c>
      <c r="L178" s="913">
        <v>477100</v>
      </c>
      <c r="M178" s="913">
        <v>2500</v>
      </c>
      <c r="N178" s="492">
        <f>517400+39608</f>
        <v>557008</v>
      </c>
      <c r="O178" s="913">
        <v>492008</v>
      </c>
      <c r="P178" s="913">
        <v>492008</v>
      </c>
      <c r="Q178" s="492">
        <f t="shared" si="64"/>
        <v>33987400</v>
      </c>
      <c r="R178" s="381">
        <f t="shared" si="56"/>
        <v>33987400</v>
      </c>
      <c r="S178" s="403">
        <f t="shared" si="62"/>
        <v>0</v>
      </c>
      <c r="T178" s="382">
        <f t="shared" ref="T178:T242" si="69">P179-O179</f>
        <v>0</v>
      </c>
      <c r="U178" s="382"/>
      <c r="V178" s="382">
        <f t="shared" si="46"/>
        <v>0</v>
      </c>
    </row>
    <row r="179" spans="1:22" ht="31.5" x14ac:dyDescent="0.25">
      <c r="A179" s="387" t="s">
        <v>522</v>
      </c>
      <c r="B179" s="387" t="s">
        <v>523</v>
      </c>
      <c r="C179" s="387" t="s">
        <v>222</v>
      </c>
      <c r="D179" s="392" t="s">
        <v>524</v>
      </c>
      <c r="E179" s="491">
        <f t="shared" si="67"/>
        <v>7986800</v>
      </c>
      <c r="F179" s="491">
        <v>7986800</v>
      </c>
      <c r="G179" s="491">
        <v>5338200</v>
      </c>
      <c r="H179" s="492">
        <f>179300+25750</f>
        <v>205050</v>
      </c>
      <c r="I179" s="492"/>
      <c r="J179" s="492">
        <f t="shared" si="68"/>
        <v>56000</v>
      </c>
      <c r="K179" s="913">
        <v>56000</v>
      </c>
      <c r="L179" s="913">
        <v>36500</v>
      </c>
      <c r="M179" s="913"/>
      <c r="N179" s="492"/>
      <c r="O179" s="492"/>
      <c r="P179" s="492"/>
      <c r="Q179" s="492">
        <f t="shared" si="64"/>
        <v>8042800</v>
      </c>
      <c r="R179" s="381">
        <f t="shared" si="56"/>
        <v>8042800</v>
      </c>
      <c r="S179" s="403">
        <f t="shared" si="62"/>
        <v>0</v>
      </c>
      <c r="T179" s="382">
        <f t="shared" si="69"/>
        <v>0</v>
      </c>
      <c r="U179" s="382"/>
      <c r="V179" s="382">
        <f t="shared" si="46"/>
        <v>0</v>
      </c>
    </row>
    <row r="180" spans="1:22" ht="15.75" x14ac:dyDescent="0.25">
      <c r="A180" s="387" t="s">
        <v>579</v>
      </c>
      <c r="B180" s="387" t="s">
        <v>580</v>
      </c>
      <c r="C180" s="387" t="s">
        <v>222</v>
      </c>
      <c r="D180" s="392" t="s">
        <v>615</v>
      </c>
      <c r="E180" s="491">
        <f t="shared" si="67"/>
        <v>3410700</v>
      </c>
      <c r="F180" s="491">
        <v>3410700</v>
      </c>
      <c r="G180" s="491">
        <f>97600-27000</f>
        <v>70600</v>
      </c>
      <c r="H180" s="492"/>
      <c r="I180" s="492"/>
      <c r="J180" s="492">
        <f t="shared" si="68"/>
        <v>0</v>
      </c>
      <c r="K180" s="913"/>
      <c r="L180" s="913"/>
      <c r="M180" s="913"/>
      <c r="N180" s="492"/>
      <c r="O180" s="492"/>
      <c r="P180" s="492"/>
      <c r="Q180" s="492">
        <f t="shared" si="64"/>
        <v>3410700</v>
      </c>
      <c r="R180" s="381">
        <f t="shared" si="56"/>
        <v>3410700</v>
      </c>
      <c r="S180" s="403">
        <f t="shared" si="62"/>
        <v>0</v>
      </c>
      <c r="T180" s="382">
        <f t="shared" si="69"/>
        <v>0</v>
      </c>
      <c r="U180" s="382"/>
      <c r="V180" s="382">
        <f t="shared" si="46"/>
        <v>0</v>
      </c>
    </row>
    <row r="181" spans="1:22" ht="31.5" x14ac:dyDescent="0.25">
      <c r="A181" s="387" t="s">
        <v>868</v>
      </c>
      <c r="B181" s="387" t="s">
        <v>263</v>
      </c>
      <c r="C181" s="387" t="s">
        <v>233</v>
      </c>
      <c r="D181" s="392" t="s">
        <v>148</v>
      </c>
      <c r="E181" s="491">
        <f t="shared" si="67"/>
        <v>4792700</v>
      </c>
      <c r="F181" s="491">
        <v>4792700</v>
      </c>
      <c r="G181" s="491"/>
      <c r="H181" s="492"/>
      <c r="I181" s="492"/>
      <c r="J181" s="492">
        <f t="shared" si="68"/>
        <v>0</v>
      </c>
      <c r="K181" s="913"/>
      <c r="L181" s="913"/>
      <c r="M181" s="913"/>
      <c r="N181" s="492"/>
      <c r="O181" s="913"/>
      <c r="P181" s="913"/>
      <c r="Q181" s="492">
        <f t="shared" si="64"/>
        <v>4792700</v>
      </c>
      <c r="R181" s="381">
        <f t="shared" si="56"/>
        <v>4792700</v>
      </c>
      <c r="S181" s="403">
        <f t="shared" si="62"/>
        <v>0</v>
      </c>
      <c r="T181" s="382">
        <f t="shared" si="69"/>
        <v>0</v>
      </c>
      <c r="U181" s="382"/>
      <c r="V181" s="382">
        <f t="shared" si="46"/>
        <v>0</v>
      </c>
    </row>
    <row r="182" spans="1:22" ht="47.25" x14ac:dyDescent="0.25">
      <c r="A182" s="387" t="s">
        <v>869</v>
      </c>
      <c r="B182" s="387" t="s">
        <v>264</v>
      </c>
      <c r="C182" s="387" t="s">
        <v>233</v>
      </c>
      <c r="D182" s="392" t="s">
        <v>272</v>
      </c>
      <c r="E182" s="491">
        <f t="shared" si="67"/>
        <v>2891400</v>
      </c>
      <c r="F182" s="491">
        <f>2278600+112800+500000</f>
        <v>2891400</v>
      </c>
      <c r="G182" s="491"/>
      <c r="H182" s="492"/>
      <c r="I182" s="492"/>
      <c r="J182" s="492">
        <f t="shared" si="68"/>
        <v>0</v>
      </c>
      <c r="K182" s="913"/>
      <c r="L182" s="913"/>
      <c r="M182" s="913"/>
      <c r="N182" s="492"/>
      <c r="O182" s="913"/>
      <c r="P182" s="913"/>
      <c r="Q182" s="492">
        <f t="shared" si="64"/>
        <v>2891400</v>
      </c>
      <c r="R182" s="381">
        <f t="shared" si="56"/>
        <v>2891400</v>
      </c>
      <c r="S182" s="403">
        <f t="shared" si="62"/>
        <v>0</v>
      </c>
      <c r="T182" s="382">
        <f t="shared" si="69"/>
        <v>0</v>
      </c>
      <c r="U182" s="382"/>
      <c r="V182" s="382">
        <f t="shared" si="46"/>
        <v>0</v>
      </c>
    </row>
    <row r="183" spans="1:22" ht="47.25" x14ac:dyDescent="0.25">
      <c r="A183" s="387" t="s">
        <v>870</v>
      </c>
      <c r="B183" s="387" t="s">
        <v>265</v>
      </c>
      <c r="C183" s="387" t="s">
        <v>233</v>
      </c>
      <c r="D183" s="392" t="s">
        <v>640</v>
      </c>
      <c r="E183" s="491">
        <f t="shared" si="67"/>
        <v>5260100</v>
      </c>
      <c r="F183" s="491">
        <f>5310100-50000</f>
        <v>5260100</v>
      </c>
      <c r="G183" s="491">
        <v>3702700</v>
      </c>
      <c r="H183" s="492">
        <v>24000</v>
      </c>
      <c r="I183" s="492"/>
      <c r="J183" s="492">
        <f t="shared" si="68"/>
        <v>0</v>
      </c>
      <c r="K183" s="913"/>
      <c r="L183" s="913"/>
      <c r="M183" s="913"/>
      <c r="N183" s="492"/>
      <c r="O183" s="913"/>
      <c r="P183" s="913"/>
      <c r="Q183" s="492">
        <f t="shared" si="64"/>
        <v>5260100</v>
      </c>
      <c r="R183" s="381">
        <f t="shared" si="56"/>
        <v>5260100</v>
      </c>
      <c r="S183" s="403">
        <f t="shared" si="62"/>
        <v>0</v>
      </c>
      <c r="T183" s="382">
        <f t="shared" si="69"/>
        <v>0</v>
      </c>
      <c r="U183" s="382"/>
      <c r="V183" s="382">
        <f t="shared" ref="V183:V251" si="70">O184-N184</f>
        <v>0</v>
      </c>
    </row>
    <row r="184" spans="1:22" ht="47.25" x14ac:dyDescent="0.25">
      <c r="A184" s="387" t="s">
        <v>871</v>
      </c>
      <c r="B184" s="387" t="s">
        <v>232</v>
      </c>
      <c r="C184" s="387" t="s">
        <v>233</v>
      </c>
      <c r="D184" s="392" t="s">
        <v>641</v>
      </c>
      <c r="E184" s="491">
        <f t="shared" si="67"/>
        <v>386700</v>
      </c>
      <c r="F184" s="491">
        <f>336700+50000</f>
        <v>386700</v>
      </c>
      <c r="G184" s="491"/>
      <c r="H184" s="492"/>
      <c r="I184" s="492"/>
      <c r="J184" s="492">
        <f t="shared" si="68"/>
        <v>0</v>
      </c>
      <c r="K184" s="913"/>
      <c r="L184" s="913"/>
      <c r="M184" s="913"/>
      <c r="N184" s="492"/>
      <c r="O184" s="913"/>
      <c r="P184" s="913"/>
      <c r="Q184" s="492">
        <f t="shared" si="64"/>
        <v>386700</v>
      </c>
      <c r="R184" s="381">
        <f t="shared" si="56"/>
        <v>386700</v>
      </c>
      <c r="S184" s="403">
        <f t="shared" si="62"/>
        <v>0</v>
      </c>
      <c r="T184" s="382">
        <f t="shared" si="69"/>
        <v>0</v>
      </c>
      <c r="U184" s="382"/>
      <c r="V184" s="382">
        <f t="shared" si="70"/>
        <v>-25000</v>
      </c>
    </row>
    <row r="185" spans="1:22" ht="47.25" x14ac:dyDescent="0.25">
      <c r="A185" s="387" t="s">
        <v>872</v>
      </c>
      <c r="B185" s="387" t="s">
        <v>266</v>
      </c>
      <c r="C185" s="387" t="s">
        <v>233</v>
      </c>
      <c r="D185" s="392" t="s">
        <v>41</v>
      </c>
      <c r="E185" s="491">
        <f t="shared" si="67"/>
        <v>46673800</v>
      </c>
      <c r="F185" s="491">
        <v>46673800</v>
      </c>
      <c r="G185" s="491">
        <v>29945500</v>
      </c>
      <c r="H185" s="492">
        <v>2787430</v>
      </c>
      <c r="I185" s="492"/>
      <c r="J185" s="492">
        <f t="shared" si="68"/>
        <v>2631300</v>
      </c>
      <c r="K185" s="913">
        <v>2606300</v>
      </c>
      <c r="L185" s="913">
        <v>974900</v>
      </c>
      <c r="M185" s="913">
        <v>131000</v>
      </c>
      <c r="N185" s="492">
        <v>25000</v>
      </c>
      <c r="O185" s="913"/>
      <c r="P185" s="913"/>
      <c r="Q185" s="492">
        <f t="shared" si="64"/>
        <v>49305100</v>
      </c>
      <c r="R185" s="381">
        <f t="shared" si="56"/>
        <v>49305100</v>
      </c>
      <c r="S185" s="403">
        <f t="shared" si="62"/>
        <v>0</v>
      </c>
      <c r="T185" s="382">
        <f t="shared" si="69"/>
        <v>0</v>
      </c>
      <c r="U185" s="382"/>
      <c r="V185" s="382">
        <f t="shared" si="70"/>
        <v>0</v>
      </c>
    </row>
    <row r="186" spans="1:22" ht="47.25" x14ac:dyDescent="0.25">
      <c r="A186" s="387" t="s">
        <v>873</v>
      </c>
      <c r="B186" s="387" t="s">
        <v>267</v>
      </c>
      <c r="C186" s="387" t="s">
        <v>233</v>
      </c>
      <c r="D186" s="392" t="s">
        <v>213</v>
      </c>
      <c r="E186" s="491">
        <f t="shared" si="67"/>
        <v>4913600</v>
      </c>
      <c r="F186" s="491">
        <v>4913600</v>
      </c>
      <c r="G186" s="491"/>
      <c r="H186" s="492"/>
      <c r="I186" s="492"/>
      <c r="J186" s="492">
        <f t="shared" si="68"/>
        <v>0</v>
      </c>
      <c r="K186" s="913"/>
      <c r="L186" s="913"/>
      <c r="M186" s="913"/>
      <c r="N186" s="492"/>
      <c r="O186" s="913"/>
      <c r="P186" s="913"/>
      <c r="Q186" s="492">
        <f t="shared" si="64"/>
        <v>4913600</v>
      </c>
      <c r="R186" s="381">
        <f t="shared" si="56"/>
        <v>4913600</v>
      </c>
      <c r="S186" s="403">
        <f t="shared" si="62"/>
        <v>0</v>
      </c>
      <c r="T186" s="382">
        <f t="shared" si="69"/>
        <v>0</v>
      </c>
      <c r="U186" s="382"/>
      <c r="V186" s="382">
        <f t="shared" si="70"/>
        <v>-10000</v>
      </c>
    </row>
    <row r="187" spans="1:22" ht="31.5" x14ac:dyDescent="0.25">
      <c r="A187" s="387" t="s">
        <v>874</v>
      </c>
      <c r="B187" s="387" t="s">
        <v>195</v>
      </c>
      <c r="C187" s="387" t="s">
        <v>233</v>
      </c>
      <c r="D187" s="392" t="s">
        <v>422</v>
      </c>
      <c r="E187" s="491">
        <f t="shared" si="67"/>
        <v>17545000</v>
      </c>
      <c r="F187" s="491">
        <v>17545000</v>
      </c>
      <c r="G187" s="491">
        <v>6095200</v>
      </c>
      <c r="H187" s="492">
        <f>249300-70000</f>
        <v>179300</v>
      </c>
      <c r="I187" s="492"/>
      <c r="J187" s="492">
        <f t="shared" si="68"/>
        <v>160000</v>
      </c>
      <c r="K187" s="913">
        <v>150000</v>
      </c>
      <c r="L187" s="913">
        <v>15000</v>
      </c>
      <c r="M187" s="913">
        <v>51700</v>
      </c>
      <c r="N187" s="492">
        <v>10000</v>
      </c>
      <c r="O187" s="913"/>
      <c r="P187" s="913"/>
      <c r="Q187" s="492">
        <f t="shared" si="64"/>
        <v>17705000</v>
      </c>
      <c r="R187" s="381">
        <f t="shared" si="56"/>
        <v>17705000</v>
      </c>
      <c r="S187" s="403">
        <f t="shared" si="62"/>
        <v>0</v>
      </c>
      <c r="T187" s="382">
        <f t="shared" si="69"/>
        <v>0</v>
      </c>
      <c r="U187" s="382"/>
      <c r="V187" s="382">
        <f t="shared" si="70"/>
        <v>0</v>
      </c>
    </row>
    <row r="188" spans="1:22" ht="78.75" x14ac:dyDescent="0.25">
      <c r="A188" s="567" t="s">
        <v>875</v>
      </c>
      <c r="B188" s="567" t="s">
        <v>172</v>
      </c>
      <c r="C188" s="567" t="s">
        <v>233</v>
      </c>
      <c r="D188" s="408" t="s">
        <v>1220</v>
      </c>
      <c r="E188" s="491">
        <f t="shared" si="67"/>
        <v>595200</v>
      </c>
      <c r="F188" s="491">
        <v>595200</v>
      </c>
      <c r="G188" s="491"/>
      <c r="H188" s="492"/>
      <c r="I188" s="492"/>
      <c r="J188" s="492">
        <f t="shared" si="68"/>
        <v>0</v>
      </c>
      <c r="K188" s="913"/>
      <c r="L188" s="913"/>
      <c r="M188" s="913"/>
      <c r="N188" s="492"/>
      <c r="O188" s="913"/>
      <c r="P188" s="913"/>
      <c r="Q188" s="492">
        <f t="shared" si="64"/>
        <v>595200</v>
      </c>
      <c r="R188" s="381">
        <f t="shared" si="56"/>
        <v>595200</v>
      </c>
      <c r="S188" s="403">
        <f t="shared" si="62"/>
        <v>0</v>
      </c>
      <c r="T188" s="382">
        <f t="shared" si="69"/>
        <v>0</v>
      </c>
      <c r="U188" s="382"/>
      <c r="V188" s="382">
        <f t="shared" si="70"/>
        <v>0</v>
      </c>
    </row>
    <row r="189" spans="1:22" ht="78.75" x14ac:dyDescent="0.25">
      <c r="A189" s="567" t="s">
        <v>876</v>
      </c>
      <c r="B189" s="567" t="s">
        <v>173</v>
      </c>
      <c r="C189" s="567" t="s">
        <v>233</v>
      </c>
      <c r="D189" s="408" t="s">
        <v>1221</v>
      </c>
      <c r="E189" s="491">
        <f t="shared" si="67"/>
        <v>251600</v>
      </c>
      <c r="F189" s="491">
        <v>251600</v>
      </c>
      <c r="G189" s="491"/>
      <c r="H189" s="492"/>
      <c r="I189" s="492"/>
      <c r="J189" s="492">
        <f t="shared" si="68"/>
        <v>0</v>
      </c>
      <c r="K189" s="913"/>
      <c r="L189" s="913"/>
      <c r="M189" s="913"/>
      <c r="N189" s="492"/>
      <c r="O189" s="913"/>
      <c r="P189" s="913"/>
      <c r="Q189" s="492">
        <f t="shared" si="64"/>
        <v>251600</v>
      </c>
      <c r="R189" s="381">
        <f t="shared" si="56"/>
        <v>251600</v>
      </c>
      <c r="S189" s="403">
        <f t="shared" si="62"/>
        <v>0</v>
      </c>
      <c r="T189" s="382">
        <f t="shared" si="69"/>
        <v>0</v>
      </c>
      <c r="U189" s="382"/>
      <c r="V189" s="382">
        <f t="shared" si="70"/>
        <v>0</v>
      </c>
    </row>
    <row r="190" spans="1:22" ht="63" x14ac:dyDescent="0.25">
      <c r="A190" s="387" t="s">
        <v>877</v>
      </c>
      <c r="B190" s="387" t="s">
        <v>50</v>
      </c>
      <c r="C190" s="387" t="s">
        <v>233</v>
      </c>
      <c r="D190" s="392" t="s">
        <v>1222</v>
      </c>
      <c r="E190" s="491">
        <f t="shared" si="67"/>
        <v>1322800</v>
      </c>
      <c r="F190" s="491">
        <v>1322800</v>
      </c>
      <c r="G190" s="491"/>
      <c r="H190" s="492"/>
      <c r="I190" s="492"/>
      <c r="J190" s="492">
        <f t="shared" si="68"/>
        <v>0</v>
      </c>
      <c r="K190" s="913"/>
      <c r="L190" s="913"/>
      <c r="M190" s="913"/>
      <c r="N190" s="492"/>
      <c r="O190" s="913"/>
      <c r="P190" s="913"/>
      <c r="Q190" s="492">
        <f t="shared" si="64"/>
        <v>1322800</v>
      </c>
      <c r="R190" s="381">
        <f t="shared" si="56"/>
        <v>1322800</v>
      </c>
      <c r="S190" s="403">
        <f t="shared" si="62"/>
        <v>0</v>
      </c>
      <c r="T190" s="382">
        <f t="shared" si="69"/>
        <v>0</v>
      </c>
      <c r="U190" s="382"/>
      <c r="V190" s="382">
        <f t="shared" si="70"/>
        <v>0</v>
      </c>
    </row>
    <row r="191" spans="1:22" ht="63" x14ac:dyDescent="0.25">
      <c r="A191" s="567" t="s">
        <v>878</v>
      </c>
      <c r="B191" s="567" t="s">
        <v>51</v>
      </c>
      <c r="C191" s="567" t="s">
        <v>233</v>
      </c>
      <c r="D191" s="408" t="s">
        <v>246</v>
      </c>
      <c r="E191" s="491">
        <f t="shared" si="67"/>
        <v>1181000</v>
      </c>
      <c r="F191" s="491">
        <v>1181000</v>
      </c>
      <c r="G191" s="491">
        <v>660900</v>
      </c>
      <c r="H191" s="492">
        <v>30100</v>
      </c>
      <c r="I191" s="492"/>
      <c r="J191" s="492">
        <f t="shared" si="68"/>
        <v>0</v>
      </c>
      <c r="K191" s="913"/>
      <c r="L191" s="913"/>
      <c r="M191" s="913"/>
      <c r="N191" s="492"/>
      <c r="O191" s="913"/>
      <c r="P191" s="913"/>
      <c r="Q191" s="492">
        <f t="shared" si="64"/>
        <v>1181000</v>
      </c>
      <c r="R191" s="381">
        <f t="shared" si="56"/>
        <v>1181000</v>
      </c>
      <c r="S191" s="403">
        <f t="shared" si="62"/>
        <v>0</v>
      </c>
      <c r="T191" s="382">
        <f t="shared" si="69"/>
        <v>0</v>
      </c>
      <c r="U191" s="382"/>
      <c r="V191" s="382">
        <f t="shared" si="70"/>
        <v>0</v>
      </c>
    </row>
    <row r="192" spans="1:22" ht="47.25" x14ac:dyDescent="0.25">
      <c r="A192" s="567" t="s">
        <v>879</v>
      </c>
      <c r="B192" s="567" t="s">
        <v>248</v>
      </c>
      <c r="C192" s="567" t="s">
        <v>233</v>
      </c>
      <c r="D192" s="408" t="s">
        <v>247</v>
      </c>
      <c r="E192" s="491">
        <f t="shared" si="67"/>
        <v>8656100</v>
      </c>
      <c r="F192" s="491">
        <v>8656100</v>
      </c>
      <c r="G192" s="491">
        <f>3136700+730500</f>
        <v>3867200</v>
      </c>
      <c r="H192" s="492">
        <v>9400</v>
      </c>
      <c r="I192" s="492"/>
      <c r="J192" s="492">
        <f t="shared" si="68"/>
        <v>0</v>
      </c>
      <c r="K192" s="913"/>
      <c r="L192" s="913"/>
      <c r="M192" s="913"/>
      <c r="N192" s="492"/>
      <c r="O192" s="913"/>
      <c r="P192" s="913"/>
      <c r="Q192" s="492">
        <f t="shared" si="64"/>
        <v>8656100</v>
      </c>
      <c r="R192" s="381">
        <f t="shared" si="56"/>
        <v>8656100</v>
      </c>
      <c r="S192" s="403">
        <f t="shared" si="62"/>
        <v>0</v>
      </c>
      <c r="T192" s="382">
        <f t="shared" si="69"/>
        <v>0</v>
      </c>
      <c r="U192" s="382"/>
      <c r="V192" s="382">
        <f t="shared" si="70"/>
        <v>0</v>
      </c>
    </row>
    <row r="193" spans="1:22" ht="94.5" x14ac:dyDescent="0.25">
      <c r="A193" s="387" t="s">
        <v>880</v>
      </c>
      <c r="B193" s="387" t="s">
        <v>425</v>
      </c>
      <c r="C193" s="387" t="s">
        <v>426</v>
      </c>
      <c r="D193" s="392" t="s">
        <v>629</v>
      </c>
      <c r="E193" s="491">
        <f t="shared" si="67"/>
        <v>49500</v>
      </c>
      <c r="F193" s="491">
        <v>49500</v>
      </c>
      <c r="G193" s="491"/>
      <c r="H193" s="492"/>
      <c r="I193" s="492"/>
      <c r="J193" s="492">
        <f t="shared" si="68"/>
        <v>36385</v>
      </c>
      <c r="K193" s="913">
        <f>21600+14785</f>
        <v>36385</v>
      </c>
      <c r="L193" s="913"/>
      <c r="M193" s="913"/>
      <c r="N193" s="492"/>
      <c r="O193" s="913"/>
      <c r="P193" s="913"/>
      <c r="Q193" s="492">
        <f t="shared" si="64"/>
        <v>85885</v>
      </c>
      <c r="R193" s="381">
        <f t="shared" si="56"/>
        <v>85885</v>
      </c>
      <c r="S193" s="403">
        <f t="shared" si="62"/>
        <v>0</v>
      </c>
      <c r="T193" s="382">
        <f t="shared" si="69"/>
        <v>0</v>
      </c>
      <c r="U193" s="382"/>
      <c r="V193" s="382">
        <f t="shared" si="70"/>
        <v>0</v>
      </c>
    </row>
    <row r="194" spans="1:22" s="406" customFormat="1" ht="18.75" x14ac:dyDescent="0.25">
      <c r="A194" s="387" t="s">
        <v>622</v>
      </c>
      <c r="B194" s="387" t="s">
        <v>621</v>
      </c>
      <c r="C194" s="387" t="s">
        <v>411</v>
      </c>
      <c r="D194" s="42" t="s">
        <v>1040</v>
      </c>
      <c r="E194" s="491">
        <f t="shared" si="67"/>
        <v>0</v>
      </c>
      <c r="F194" s="491"/>
      <c r="G194" s="491"/>
      <c r="H194" s="492"/>
      <c r="I194" s="492"/>
      <c r="J194" s="492">
        <f t="shared" si="68"/>
        <v>1000</v>
      </c>
      <c r="K194" s="913"/>
      <c r="L194" s="913"/>
      <c r="M194" s="913"/>
      <c r="N194" s="492">
        <v>1000</v>
      </c>
      <c r="O194" s="913">
        <v>1000</v>
      </c>
      <c r="P194" s="913">
        <v>1000</v>
      </c>
      <c r="Q194" s="492">
        <f t="shared" si="64"/>
        <v>1000</v>
      </c>
      <c r="R194" s="381">
        <f t="shared" si="56"/>
        <v>1000</v>
      </c>
      <c r="S194" s="403"/>
      <c r="T194" s="382">
        <f t="shared" si="69"/>
        <v>0</v>
      </c>
      <c r="U194" s="382"/>
      <c r="V194" s="382">
        <f t="shared" si="70"/>
        <v>0</v>
      </c>
    </row>
    <row r="195" spans="1:22" ht="60" hidden="1" x14ac:dyDescent="0.25">
      <c r="A195" s="670" t="s">
        <v>881</v>
      </c>
      <c r="B195" s="670" t="s">
        <v>593</v>
      </c>
      <c r="C195" s="670" t="s">
        <v>411</v>
      </c>
      <c r="D195" s="671" t="s">
        <v>756</v>
      </c>
      <c r="E195" s="702">
        <f t="shared" si="67"/>
        <v>0</v>
      </c>
      <c r="F195" s="702"/>
      <c r="G195" s="702"/>
      <c r="H195" s="702"/>
      <c r="I195" s="702"/>
      <c r="J195" s="702">
        <f t="shared" si="68"/>
        <v>0</v>
      </c>
      <c r="K195" s="703"/>
      <c r="L195" s="703"/>
      <c r="M195" s="703"/>
      <c r="N195" s="702"/>
      <c r="O195" s="703"/>
      <c r="P195" s="703"/>
      <c r="Q195" s="702">
        <f t="shared" si="64"/>
        <v>0</v>
      </c>
      <c r="R195" s="381">
        <f t="shared" si="56"/>
        <v>0</v>
      </c>
      <c r="S195" s="403">
        <f>R196-Q196</f>
        <v>0</v>
      </c>
      <c r="T195" s="382">
        <f t="shared" si="69"/>
        <v>0</v>
      </c>
      <c r="U195" s="382"/>
      <c r="V195" s="382">
        <f t="shared" si="70"/>
        <v>0</v>
      </c>
    </row>
    <row r="196" spans="1:22" s="257" customFormat="1" ht="31.5" x14ac:dyDescent="0.25">
      <c r="A196" s="387" t="s">
        <v>413</v>
      </c>
      <c r="B196" s="387" t="s">
        <v>279</v>
      </c>
      <c r="C196" s="387" t="s">
        <v>411</v>
      </c>
      <c r="D196" s="392" t="s">
        <v>414</v>
      </c>
      <c r="E196" s="491">
        <f t="shared" si="67"/>
        <v>180000</v>
      </c>
      <c r="F196" s="491">
        <v>180000</v>
      </c>
      <c r="G196" s="491"/>
      <c r="H196" s="492"/>
      <c r="I196" s="492"/>
      <c r="J196" s="492">
        <f t="shared" si="68"/>
        <v>0</v>
      </c>
      <c r="K196" s="913"/>
      <c r="L196" s="913"/>
      <c r="M196" s="913"/>
      <c r="N196" s="492"/>
      <c r="O196" s="913"/>
      <c r="P196" s="913"/>
      <c r="Q196" s="492">
        <f t="shared" si="64"/>
        <v>180000</v>
      </c>
      <c r="R196" s="381">
        <f t="shared" si="56"/>
        <v>180000</v>
      </c>
      <c r="S196" s="170"/>
      <c r="T196" s="382">
        <f t="shared" si="69"/>
        <v>0</v>
      </c>
      <c r="U196" s="296"/>
      <c r="V196" s="382">
        <f t="shared" si="70"/>
        <v>0</v>
      </c>
    </row>
    <row r="197" spans="1:22" ht="31.5" hidden="1" x14ac:dyDescent="0.25">
      <c r="A197" s="614" t="s">
        <v>882</v>
      </c>
      <c r="B197" s="614" t="s">
        <v>595</v>
      </c>
      <c r="C197" s="614" t="s">
        <v>224</v>
      </c>
      <c r="D197" s="617" t="s">
        <v>596</v>
      </c>
      <c r="E197" s="704">
        <f t="shared" si="67"/>
        <v>0</v>
      </c>
      <c r="F197" s="658"/>
      <c r="G197" s="658"/>
      <c r="H197" s="658"/>
      <c r="I197" s="658"/>
      <c r="J197" s="704">
        <f t="shared" si="68"/>
        <v>0</v>
      </c>
      <c r="K197" s="674"/>
      <c r="L197" s="674"/>
      <c r="M197" s="674"/>
      <c r="N197" s="658"/>
      <c r="O197" s="674"/>
      <c r="P197" s="674"/>
      <c r="Q197" s="704">
        <f t="shared" si="64"/>
        <v>0</v>
      </c>
      <c r="R197" s="381">
        <f t="shared" si="56"/>
        <v>0</v>
      </c>
      <c r="S197" s="403">
        <f>R198-Q198</f>
        <v>0</v>
      </c>
      <c r="T197" s="382">
        <f t="shared" si="69"/>
        <v>0</v>
      </c>
      <c r="U197" s="382"/>
      <c r="V197" s="382">
        <f t="shared" si="70"/>
        <v>0</v>
      </c>
    </row>
    <row r="198" spans="1:22" s="406" customFormat="1" ht="31.5" x14ac:dyDescent="0.25">
      <c r="A198" s="387" t="s">
        <v>584</v>
      </c>
      <c r="B198" s="387" t="s">
        <v>585</v>
      </c>
      <c r="C198" s="387" t="s">
        <v>587</v>
      </c>
      <c r="D198" s="392" t="s">
        <v>586</v>
      </c>
      <c r="E198" s="491">
        <f t="shared" si="67"/>
        <v>222000</v>
      </c>
      <c r="F198" s="491">
        <v>222000</v>
      </c>
      <c r="G198" s="491"/>
      <c r="H198" s="492"/>
      <c r="I198" s="492"/>
      <c r="J198" s="492">
        <f t="shared" si="68"/>
        <v>0</v>
      </c>
      <c r="K198" s="913"/>
      <c r="L198" s="913"/>
      <c r="M198" s="913"/>
      <c r="N198" s="492"/>
      <c r="O198" s="913"/>
      <c r="P198" s="913"/>
      <c r="Q198" s="492">
        <f t="shared" si="64"/>
        <v>222000</v>
      </c>
      <c r="R198" s="381">
        <f t="shared" si="56"/>
        <v>222000</v>
      </c>
      <c r="S198" s="403"/>
      <c r="T198" s="382">
        <f t="shared" si="69"/>
        <v>0</v>
      </c>
      <c r="U198" s="382"/>
      <c r="V198" s="382">
        <f t="shared" si="70"/>
        <v>0</v>
      </c>
    </row>
    <row r="199" spans="1:22" s="257" customFormat="1" ht="31.5" hidden="1" x14ac:dyDescent="0.25">
      <c r="A199" s="688" t="s">
        <v>841</v>
      </c>
      <c r="B199" s="688" t="s">
        <v>472</v>
      </c>
      <c r="C199" s="615" t="s">
        <v>224</v>
      </c>
      <c r="D199" s="616" t="s">
        <v>122</v>
      </c>
      <c r="E199" s="690">
        <f t="shared" si="67"/>
        <v>0</v>
      </c>
      <c r="F199" s="690"/>
      <c r="G199" s="690"/>
      <c r="H199" s="690"/>
      <c r="I199" s="690"/>
      <c r="J199" s="690">
        <f t="shared" si="68"/>
        <v>0</v>
      </c>
      <c r="K199" s="691"/>
      <c r="L199" s="691"/>
      <c r="M199" s="691"/>
      <c r="N199" s="690"/>
      <c r="O199" s="691"/>
      <c r="P199" s="691"/>
      <c r="Q199" s="690">
        <f t="shared" si="64"/>
        <v>0</v>
      </c>
      <c r="R199" s="381">
        <f t="shared" si="56"/>
        <v>0</v>
      </c>
      <c r="S199" s="272"/>
      <c r="T199" s="382">
        <f t="shared" si="69"/>
        <v>0</v>
      </c>
      <c r="U199" s="296"/>
      <c r="V199" s="382">
        <f t="shared" si="70"/>
        <v>0</v>
      </c>
    </row>
    <row r="200" spans="1:22" s="182" customFormat="1" ht="63" hidden="1" x14ac:dyDescent="0.25">
      <c r="A200" s="44" t="s">
        <v>883</v>
      </c>
      <c r="B200" s="44" t="s">
        <v>650</v>
      </c>
      <c r="C200" s="44" t="s">
        <v>14</v>
      </c>
      <c r="D200" s="42" t="s">
        <v>651</v>
      </c>
      <c r="E200" s="207">
        <f t="shared" si="67"/>
        <v>0</v>
      </c>
      <c r="F200" s="204"/>
      <c r="G200" s="204"/>
      <c r="H200" s="204"/>
      <c r="I200" s="204"/>
      <c r="J200" s="462">
        <f t="shared" si="68"/>
        <v>0</v>
      </c>
      <c r="K200" s="463"/>
      <c r="L200" s="210"/>
      <c r="M200" s="210"/>
      <c r="N200" s="204"/>
      <c r="O200" s="210"/>
      <c r="P200" s="210"/>
      <c r="Q200" s="462">
        <f t="shared" si="64"/>
        <v>0</v>
      </c>
      <c r="R200" s="381">
        <f t="shared" si="56"/>
        <v>0</v>
      </c>
      <c r="S200" s="170">
        <f>R201-Q201</f>
        <v>0</v>
      </c>
      <c r="T200" s="382">
        <f t="shared" si="69"/>
        <v>0</v>
      </c>
      <c r="U200" s="296"/>
      <c r="V200" s="382">
        <f t="shared" si="70"/>
        <v>0</v>
      </c>
    </row>
    <row r="201" spans="1:22" s="182" customFormat="1" ht="31.5" hidden="1" x14ac:dyDescent="0.25">
      <c r="A201" s="44" t="s">
        <v>415</v>
      </c>
      <c r="B201" s="44" t="s">
        <v>416</v>
      </c>
      <c r="C201" s="44" t="s">
        <v>223</v>
      </c>
      <c r="D201" s="42" t="s">
        <v>417</v>
      </c>
      <c r="E201" s="391">
        <f t="shared" si="67"/>
        <v>0</v>
      </c>
      <c r="F201" s="207"/>
      <c r="G201" s="207"/>
      <c r="H201" s="207"/>
      <c r="I201" s="207"/>
      <c r="J201" s="391">
        <f t="shared" si="68"/>
        <v>0</v>
      </c>
      <c r="K201" s="209"/>
      <c r="L201" s="209"/>
      <c r="M201" s="209"/>
      <c r="N201" s="207"/>
      <c r="O201" s="209"/>
      <c r="P201" s="209"/>
      <c r="Q201" s="391">
        <f t="shared" si="64"/>
        <v>0</v>
      </c>
      <c r="R201" s="381">
        <f t="shared" si="56"/>
        <v>0</v>
      </c>
      <c r="S201" s="170">
        <f>R202-Q202</f>
        <v>0</v>
      </c>
      <c r="T201" s="382">
        <f t="shared" si="69"/>
        <v>0</v>
      </c>
      <c r="U201" s="296"/>
      <c r="V201" s="382">
        <f t="shared" si="70"/>
        <v>0</v>
      </c>
    </row>
    <row r="202" spans="1:22" s="257" customFormat="1" ht="31.5" hidden="1" x14ac:dyDescent="0.25">
      <c r="A202" s="44" t="s">
        <v>581</v>
      </c>
      <c r="B202" s="44" t="s">
        <v>582</v>
      </c>
      <c r="C202" s="44" t="s">
        <v>223</v>
      </c>
      <c r="D202" s="42" t="s">
        <v>583</v>
      </c>
      <c r="E202" s="391">
        <f t="shared" si="67"/>
        <v>0</v>
      </c>
      <c r="F202" s="207"/>
      <c r="G202" s="207"/>
      <c r="H202" s="207"/>
      <c r="I202" s="207"/>
      <c r="J202" s="391">
        <f t="shared" si="68"/>
        <v>0</v>
      </c>
      <c r="K202" s="209"/>
      <c r="L202" s="209"/>
      <c r="M202" s="209"/>
      <c r="N202" s="207"/>
      <c r="O202" s="209"/>
      <c r="P202" s="209"/>
      <c r="Q202" s="391">
        <f t="shared" si="64"/>
        <v>0</v>
      </c>
      <c r="R202" s="381">
        <f t="shared" si="56"/>
        <v>0</v>
      </c>
      <c r="S202" s="272"/>
      <c r="T202" s="382">
        <f t="shared" si="69"/>
        <v>0</v>
      </c>
      <c r="U202" s="296"/>
      <c r="V202" s="382">
        <f>O203-N203</f>
        <v>0</v>
      </c>
    </row>
    <row r="203" spans="1:22" ht="78.75" hidden="1" x14ac:dyDescent="0.25">
      <c r="A203" s="166" t="s">
        <v>884</v>
      </c>
      <c r="B203" s="166">
        <v>9580</v>
      </c>
      <c r="C203" s="166" t="s">
        <v>11</v>
      </c>
      <c r="D203" s="648" t="s">
        <v>837</v>
      </c>
      <c r="E203" s="637">
        <f>F203+I203</f>
        <v>0</v>
      </c>
      <c r="F203" s="627"/>
      <c r="G203" s="627"/>
      <c r="H203" s="627"/>
      <c r="I203" s="627"/>
      <c r="J203" s="633">
        <f>+K203+N203</f>
        <v>0</v>
      </c>
      <c r="K203" s="649"/>
      <c r="L203" s="303"/>
      <c r="M203" s="303"/>
      <c r="N203" s="627"/>
      <c r="O203" s="303"/>
      <c r="P203" s="303"/>
      <c r="Q203" s="633">
        <f>+J203+E203</f>
        <v>0</v>
      </c>
      <c r="R203" s="381">
        <f t="shared" si="56"/>
        <v>0</v>
      </c>
      <c r="T203" s="382">
        <f t="shared" si="69"/>
        <v>0</v>
      </c>
    </row>
    <row r="204" spans="1:22" s="404" customFormat="1" ht="15.75" x14ac:dyDescent="0.25">
      <c r="A204" s="44" t="s">
        <v>907</v>
      </c>
      <c r="B204" s="44" t="s">
        <v>304</v>
      </c>
      <c r="C204" s="44" t="s">
        <v>11</v>
      </c>
      <c r="D204" s="725" t="s">
        <v>305</v>
      </c>
      <c r="E204" s="205">
        <f>F204+I204</f>
        <v>5100000</v>
      </c>
      <c r="F204" s="205">
        <f>4500000+600000</f>
        <v>5100000</v>
      </c>
      <c r="G204" s="205"/>
      <c r="H204" s="54"/>
      <c r="I204" s="54"/>
      <c r="J204" s="54"/>
      <c r="K204" s="490"/>
      <c r="L204" s="490"/>
      <c r="M204" s="490"/>
      <c r="N204" s="54"/>
      <c r="O204" s="490"/>
      <c r="P204" s="490"/>
      <c r="Q204" s="54">
        <f>+J204+E204</f>
        <v>5100000</v>
      </c>
      <c r="R204" s="381">
        <f t="shared" si="56"/>
        <v>5100000</v>
      </c>
      <c r="S204" s="403"/>
      <c r="T204" s="382">
        <f t="shared" si="69"/>
        <v>-39649647.290000007</v>
      </c>
      <c r="U204" s="382"/>
      <c r="V204" s="382">
        <f t="shared" si="70"/>
        <v>-1076390839.25</v>
      </c>
    </row>
    <row r="205" spans="1:22" s="404" customFormat="1" ht="47.25" x14ac:dyDescent="0.25">
      <c r="A205" s="402" t="s">
        <v>427</v>
      </c>
      <c r="B205" s="402"/>
      <c r="C205" s="402"/>
      <c r="D205" s="394" t="s">
        <v>693</v>
      </c>
      <c r="E205" s="916">
        <f>E248+E236+E216+E217+E222+E213+E228+E230+E223+E224+E225+E209+E235+E232+E227+E215+E257+E258+E260+E259+E229+E219+E218+E234+E239+E242+E241+E246+E255+E231+E244+E233+E220+E240+E221+E210+E211+E214+E238+E243+E226+E212+E256+E250+E249+E251+E252+E254+E262+E253+E208+E237+E245+E207+E247+E261</f>
        <v>7477280</v>
      </c>
      <c r="F205" s="916">
        <f t="shared" ref="F205:Q205" si="71">F248+F236+F216+F217+F222+F213+F228+F230+F223+F224+F225+F209+F235+F232+F227+F215+F257+F258+F260+F259+F229+F219+F218+F234+F239+F242+F241+F246+F255+F231+F244+F233+F220+F240+F221+F210+F211+F214+F238+F243+F226+F212+F256+F250+F249+F251+F252+F254+F262+F253+F208+F237+F245+F207+F247+F261</f>
        <v>4091020</v>
      </c>
      <c r="G205" s="916">
        <f t="shared" si="71"/>
        <v>0</v>
      </c>
      <c r="H205" s="916">
        <f t="shared" si="71"/>
        <v>0</v>
      </c>
      <c r="I205" s="916">
        <f t="shared" si="71"/>
        <v>3386260</v>
      </c>
      <c r="J205" s="916">
        <f t="shared" si="71"/>
        <v>1474769594.03</v>
      </c>
      <c r="K205" s="916">
        <f t="shared" si="71"/>
        <v>269021140.80000001</v>
      </c>
      <c r="L205" s="916">
        <f t="shared" si="71"/>
        <v>0</v>
      </c>
      <c r="M205" s="916">
        <f t="shared" si="71"/>
        <v>0</v>
      </c>
      <c r="N205" s="916">
        <f t="shared" si="71"/>
        <v>1205748453.23</v>
      </c>
      <c r="O205" s="916">
        <f t="shared" si="71"/>
        <v>129357613.98</v>
      </c>
      <c r="P205" s="916">
        <f t="shared" si="71"/>
        <v>89707966.689999998</v>
      </c>
      <c r="Q205" s="916">
        <f t="shared" si="71"/>
        <v>1482246874.03</v>
      </c>
      <c r="R205" s="381">
        <f t="shared" si="56"/>
        <v>1482246874.03</v>
      </c>
      <c r="S205" s="403">
        <f>R206-Q206</f>
        <v>0</v>
      </c>
      <c r="T205" s="382">
        <f t="shared" si="69"/>
        <v>-39649647.290000007</v>
      </c>
      <c r="U205" s="382"/>
      <c r="V205" s="382">
        <f t="shared" si="70"/>
        <v>-1076390839.25</v>
      </c>
    </row>
    <row r="206" spans="1:22" ht="47.25" x14ac:dyDescent="0.25">
      <c r="A206" s="402" t="s">
        <v>428</v>
      </c>
      <c r="B206" s="402"/>
      <c r="C206" s="402"/>
      <c r="D206" s="394" t="s">
        <v>693</v>
      </c>
      <c r="E206" s="916">
        <f>SUM(E207:E262)</f>
        <v>7477280</v>
      </c>
      <c r="F206" s="916">
        <f t="shared" ref="F206:Q206" si="72">SUM(F207:F262)</f>
        <v>4091020</v>
      </c>
      <c r="G206" s="916">
        <f t="shared" si="72"/>
        <v>0</v>
      </c>
      <c r="H206" s="916">
        <f t="shared" si="72"/>
        <v>0</v>
      </c>
      <c r="I206" s="916">
        <f t="shared" si="72"/>
        <v>3386260</v>
      </c>
      <c r="J206" s="916">
        <f t="shared" si="72"/>
        <v>1474769594.03</v>
      </c>
      <c r="K206" s="916">
        <f t="shared" si="72"/>
        <v>269021140.80000001</v>
      </c>
      <c r="L206" s="916">
        <f t="shared" si="72"/>
        <v>0</v>
      </c>
      <c r="M206" s="916">
        <f t="shared" si="72"/>
        <v>0</v>
      </c>
      <c r="N206" s="916">
        <f t="shared" si="72"/>
        <v>1205748453.23</v>
      </c>
      <c r="O206" s="916">
        <f t="shared" si="72"/>
        <v>129357613.98</v>
      </c>
      <c r="P206" s="916">
        <f t="shared" si="72"/>
        <v>89707966.689999998</v>
      </c>
      <c r="Q206" s="916">
        <f t="shared" si="72"/>
        <v>1482246874.03</v>
      </c>
      <c r="R206" s="381">
        <f t="shared" si="56"/>
        <v>1482246874.03</v>
      </c>
      <c r="S206" s="431"/>
      <c r="T206" s="382">
        <f>P208-O208</f>
        <v>0</v>
      </c>
      <c r="U206" s="460"/>
      <c r="V206" s="460"/>
    </row>
    <row r="207" spans="1:22" s="386" customFormat="1" ht="31.5" x14ac:dyDescent="0.25">
      <c r="A207" s="1054" t="s">
        <v>1451</v>
      </c>
      <c r="B207" s="1054" t="s">
        <v>11</v>
      </c>
      <c r="C207" s="1054" t="s">
        <v>14</v>
      </c>
      <c r="D207" s="655" t="s">
        <v>302</v>
      </c>
      <c r="E207" s="919">
        <f>F207+I207</f>
        <v>20400</v>
      </c>
      <c r="F207" s="919">
        <f>31200-10800</f>
        <v>20400</v>
      </c>
      <c r="G207" s="919"/>
      <c r="H207" s="1339"/>
      <c r="I207" s="1339"/>
      <c r="J207" s="1339">
        <f>+K207+N207</f>
        <v>0</v>
      </c>
      <c r="K207" s="1339"/>
      <c r="L207" s="1339"/>
      <c r="M207" s="1339"/>
      <c r="N207" s="1339"/>
      <c r="O207" s="1339"/>
      <c r="P207" s="1339"/>
      <c r="Q207" s="1339">
        <f>+J207+E207</f>
        <v>20400</v>
      </c>
      <c r="R207" s="381">
        <f t="shared" si="56"/>
        <v>20400</v>
      </c>
      <c r="S207" s="383">
        <f>R207-Q207</f>
        <v>0</v>
      </c>
      <c r="T207" s="382">
        <f>P207-O207</f>
        <v>0</v>
      </c>
      <c r="U207" s="382"/>
      <c r="V207" s="382">
        <f>O207-N207</f>
        <v>0</v>
      </c>
    </row>
    <row r="208" spans="1:22" ht="47.25" hidden="1" x14ac:dyDescent="0.25">
      <c r="A208" s="387" t="s">
        <v>1004</v>
      </c>
      <c r="B208" s="387" t="s">
        <v>17</v>
      </c>
      <c r="C208" s="44" t="s">
        <v>16</v>
      </c>
      <c r="D208" s="42" t="s">
        <v>931</v>
      </c>
      <c r="E208" s="412">
        <f t="shared" ref="E208:E222" si="73">F208+I208</f>
        <v>0</v>
      </c>
      <c r="F208" s="385"/>
      <c r="G208" s="385"/>
      <c r="H208" s="385"/>
      <c r="I208" s="385"/>
      <c r="J208" s="204">
        <f t="shared" ref="J208:J222" si="74">+K208+N208</f>
        <v>0</v>
      </c>
      <c r="K208" s="385"/>
      <c r="L208" s="385"/>
      <c r="M208" s="385"/>
      <c r="N208" s="385"/>
      <c r="O208" s="385"/>
      <c r="P208" s="385"/>
      <c r="Q208" s="385">
        <f t="shared" ref="Q208:Q222" si="75">+J208+E208</f>
        <v>0</v>
      </c>
      <c r="R208" s="381">
        <f t="shared" si="56"/>
        <v>0</v>
      </c>
      <c r="S208" s="403" t="s">
        <v>1006</v>
      </c>
      <c r="T208" s="382">
        <f t="shared" si="69"/>
        <v>0</v>
      </c>
      <c r="U208" s="382"/>
      <c r="V208" s="382">
        <f t="shared" si="70"/>
        <v>0</v>
      </c>
    </row>
    <row r="209" spans="1:22" ht="94.5" hidden="1" x14ac:dyDescent="0.25">
      <c r="A209" s="664" t="s">
        <v>429</v>
      </c>
      <c r="B209" s="664" t="s">
        <v>18</v>
      </c>
      <c r="C209" s="664" t="s">
        <v>16</v>
      </c>
      <c r="D209" s="685" t="s">
        <v>19</v>
      </c>
      <c r="E209" s="705">
        <f t="shared" si="73"/>
        <v>0</v>
      </c>
      <c r="F209" s="705"/>
      <c r="G209" s="705"/>
      <c r="H209" s="705"/>
      <c r="I209" s="705"/>
      <c r="J209" s="705">
        <f t="shared" si="74"/>
        <v>0</v>
      </c>
      <c r="K209" s="705"/>
      <c r="L209" s="705"/>
      <c r="M209" s="705"/>
      <c r="N209" s="705"/>
      <c r="O209" s="705"/>
      <c r="P209" s="705"/>
      <c r="Q209" s="666">
        <f t="shared" si="75"/>
        <v>0</v>
      </c>
      <c r="R209" s="381">
        <f t="shared" si="56"/>
        <v>0</v>
      </c>
      <c r="S209" s="403"/>
      <c r="T209" s="382">
        <f t="shared" si="69"/>
        <v>0</v>
      </c>
      <c r="U209" s="382"/>
      <c r="V209" s="382">
        <f t="shared" si="70"/>
        <v>0</v>
      </c>
    </row>
    <row r="210" spans="1:22" s="386" customFormat="1" ht="126" hidden="1" x14ac:dyDescent="0.25">
      <c r="A210" s="387" t="s">
        <v>722</v>
      </c>
      <c r="B210" s="387" t="s">
        <v>20</v>
      </c>
      <c r="C210" s="387" t="s">
        <v>16</v>
      </c>
      <c r="D210" s="392" t="s">
        <v>269</v>
      </c>
      <c r="E210" s="412">
        <f t="shared" si="73"/>
        <v>0</v>
      </c>
      <c r="F210" s="412"/>
      <c r="G210" s="412"/>
      <c r="H210" s="412"/>
      <c r="I210" s="412"/>
      <c r="J210" s="412">
        <f t="shared" si="74"/>
        <v>0</v>
      </c>
      <c r="K210" s="412"/>
      <c r="L210" s="412"/>
      <c r="M210" s="412"/>
      <c r="N210" s="412"/>
      <c r="O210" s="412"/>
      <c r="P210" s="412"/>
      <c r="Q210" s="385">
        <f t="shared" si="75"/>
        <v>0</v>
      </c>
      <c r="R210" s="381">
        <f t="shared" ref="R210:R273" si="76">+E210+J210</f>
        <v>0</v>
      </c>
      <c r="S210" s="383">
        <f>R211-Q211</f>
        <v>0</v>
      </c>
      <c r="T210" s="382">
        <f t="shared" si="69"/>
        <v>0</v>
      </c>
      <c r="U210" s="382"/>
      <c r="V210" s="382">
        <f t="shared" si="70"/>
        <v>0</v>
      </c>
    </row>
    <row r="211" spans="1:22" s="386" customFormat="1" ht="47.25" hidden="1" x14ac:dyDescent="0.25">
      <c r="A211" s="387" t="s">
        <v>733</v>
      </c>
      <c r="B211" s="387" t="s">
        <v>9</v>
      </c>
      <c r="C211" s="387" t="s">
        <v>21</v>
      </c>
      <c r="D211" s="392" t="s">
        <v>179</v>
      </c>
      <c r="E211" s="385">
        <f t="shared" si="73"/>
        <v>0</v>
      </c>
      <c r="F211" s="385"/>
      <c r="G211" s="385"/>
      <c r="H211" s="385"/>
      <c r="I211" s="385"/>
      <c r="J211" s="385">
        <f t="shared" si="74"/>
        <v>0</v>
      </c>
      <c r="K211" s="385"/>
      <c r="L211" s="385"/>
      <c r="M211" s="385"/>
      <c r="N211" s="385"/>
      <c r="O211" s="385"/>
      <c r="P211" s="385"/>
      <c r="Q211" s="385">
        <f>+J211+E211</f>
        <v>0</v>
      </c>
      <c r="R211" s="381">
        <f t="shared" si="76"/>
        <v>0</v>
      </c>
      <c r="S211" s="383"/>
      <c r="T211" s="382">
        <f t="shared" si="69"/>
        <v>0</v>
      </c>
      <c r="U211" s="382"/>
      <c r="V211" s="382">
        <f t="shared" si="70"/>
        <v>0</v>
      </c>
    </row>
    <row r="212" spans="1:22" ht="31.5" hidden="1" x14ac:dyDescent="0.25">
      <c r="A212" s="387" t="s">
        <v>819</v>
      </c>
      <c r="B212" s="387" t="s">
        <v>318</v>
      </c>
      <c r="C212" s="387" t="s">
        <v>22</v>
      </c>
      <c r="D212" s="392" t="s">
        <v>623</v>
      </c>
      <c r="E212" s="412"/>
      <c r="F212" s="412"/>
      <c r="G212" s="412"/>
      <c r="H212" s="412"/>
      <c r="I212" s="412"/>
      <c r="J212" s="385">
        <f t="shared" si="74"/>
        <v>0</v>
      </c>
      <c r="K212" s="412"/>
      <c r="L212" s="412"/>
      <c r="M212" s="412"/>
      <c r="N212" s="412"/>
      <c r="O212" s="412"/>
      <c r="P212" s="412"/>
      <c r="Q212" s="385">
        <f>+J212+E212</f>
        <v>0</v>
      </c>
      <c r="R212" s="381">
        <f t="shared" si="76"/>
        <v>0</v>
      </c>
      <c r="S212" s="403">
        <f t="shared" ref="S212:S218" si="77">R213-Q213</f>
        <v>0</v>
      </c>
      <c r="T212" s="382">
        <f t="shared" si="69"/>
        <v>0</v>
      </c>
      <c r="U212" s="382"/>
      <c r="V212" s="382">
        <f t="shared" si="70"/>
        <v>0</v>
      </c>
    </row>
    <row r="213" spans="1:22" ht="31.5" hidden="1" x14ac:dyDescent="0.25">
      <c r="A213" s="387" t="s">
        <v>430</v>
      </c>
      <c r="B213" s="387" t="s">
        <v>23</v>
      </c>
      <c r="C213" s="387" t="s">
        <v>24</v>
      </c>
      <c r="D213" s="392" t="s">
        <v>932</v>
      </c>
      <c r="E213" s="412">
        <f t="shared" si="73"/>
        <v>0</v>
      </c>
      <c r="F213" s="412"/>
      <c r="G213" s="412"/>
      <c r="H213" s="412"/>
      <c r="I213" s="412"/>
      <c r="J213" s="412">
        <f t="shared" si="74"/>
        <v>0</v>
      </c>
      <c r="K213" s="468"/>
      <c r="L213" s="468"/>
      <c r="M213" s="468"/>
      <c r="N213" s="412"/>
      <c r="O213" s="412"/>
      <c r="P213" s="412"/>
      <c r="Q213" s="385">
        <f>+J213+E213</f>
        <v>0</v>
      </c>
      <c r="R213" s="381">
        <f t="shared" si="76"/>
        <v>0</v>
      </c>
      <c r="S213" s="170">
        <f t="shared" si="77"/>
        <v>0</v>
      </c>
      <c r="T213" s="382">
        <f t="shared" si="69"/>
        <v>0</v>
      </c>
      <c r="U213" s="382"/>
      <c r="V213" s="382">
        <f t="shared" si="70"/>
        <v>0</v>
      </c>
    </row>
    <row r="214" spans="1:22" ht="47.25" hidden="1" x14ac:dyDescent="0.25">
      <c r="A214" s="387" t="s">
        <v>734</v>
      </c>
      <c r="B214" s="387" t="s">
        <v>519</v>
      </c>
      <c r="C214" s="387" t="s">
        <v>520</v>
      </c>
      <c r="D214" s="392" t="s">
        <v>521</v>
      </c>
      <c r="E214" s="413">
        <f t="shared" si="73"/>
        <v>0</v>
      </c>
      <c r="F214" s="413"/>
      <c r="G214" s="413"/>
      <c r="H214" s="413"/>
      <c r="I214" s="413"/>
      <c r="J214" s="413">
        <f t="shared" si="74"/>
        <v>0</v>
      </c>
      <c r="K214" s="413"/>
      <c r="L214" s="413"/>
      <c r="M214" s="413"/>
      <c r="N214" s="413"/>
      <c r="O214" s="413"/>
      <c r="P214" s="413"/>
      <c r="Q214" s="405">
        <f t="shared" si="75"/>
        <v>0</v>
      </c>
      <c r="R214" s="381">
        <f t="shared" si="76"/>
        <v>0</v>
      </c>
      <c r="S214" s="170">
        <f t="shared" si="77"/>
        <v>0</v>
      </c>
      <c r="T214" s="382">
        <f t="shared" si="69"/>
        <v>0</v>
      </c>
      <c r="U214" s="382"/>
      <c r="V214" s="382">
        <f t="shared" si="70"/>
        <v>0</v>
      </c>
    </row>
    <row r="215" spans="1:22" ht="31.5" hidden="1" x14ac:dyDescent="0.25">
      <c r="A215" s="387" t="s">
        <v>431</v>
      </c>
      <c r="B215" s="387" t="s">
        <v>12</v>
      </c>
      <c r="C215" s="387" t="s">
        <v>13</v>
      </c>
      <c r="D215" s="392" t="s">
        <v>306</v>
      </c>
      <c r="E215" s="412">
        <f t="shared" si="73"/>
        <v>0</v>
      </c>
      <c r="F215" s="412"/>
      <c r="G215" s="412"/>
      <c r="H215" s="412"/>
      <c r="I215" s="412"/>
      <c r="J215" s="412">
        <f t="shared" si="74"/>
        <v>0</v>
      </c>
      <c r="K215" s="468"/>
      <c r="L215" s="468"/>
      <c r="M215" s="468"/>
      <c r="N215" s="412"/>
      <c r="O215" s="412"/>
      <c r="P215" s="412"/>
      <c r="Q215" s="385">
        <f t="shared" si="75"/>
        <v>0</v>
      </c>
      <c r="R215" s="381">
        <f t="shared" si="76"/>
        <v>0</v>
      </c>
      <c r="S215" s="170">
        <f t="shared" si="77"/>
        <v>0</v>
      </c>
      <c r="T215" s="382">
        <f t="shared" si="69"/>
        <v>0</v>
      </c>
      <c r="U215" s="382"/>
      <c r="V215" s="382">
        <f t="shared" si="70"/>
        <v>0</v>
      </c>
    </row>
    <row r="216" spans="1:22" ht="31.5" hidden="1" x14ac:dyDescent="0.25">
      <c r="A216" s="387" t="s">
        <v>432</v>
      </c>
      <c r="B216" s="387" t="s">
        <v>58</v>
      </c>
      <c r="C216" s="387" t="s">
        <v>99</v>
      </c>
      <c r="D216" s="392" t="s">
        <v>59</v>
      </c>
      <c r="E216" s="405">
        <f t="shared" si="73"/>
        <v>0</v>
      </c>
      <c r="F216" s="405"/>
      <c r="G216" s="405"/>
      <c r="H216" s="405"/>
      <c r="I216" s="405"/>
      <c r="J216" s="405">
        <f t="shared" si="74"/>
        <v>0</v>
      </c>
      <c r="K216" s="413"/>
      <c r="L216" s="413"/>
      <c r="M216" s="413"/>
      <c r="N216" s="413"/>
      <c r="O216" s="413"/>
      <c r="P216" s="413"/>
      <c r="Q216" s="405">
        <f t="shared" si="75"/>
        <v>0</v>
      </c>
      <c r="R216" s="381">
        <f t="shared" si="76"/>
        <v>0</v>
      </c>
      <c r="S216" s="170">
        <f t="shared" si="77"/>
        <v>0</v>
      </c>
      <c r="T216" s="382">
        <f t="shared" si="69"/>
        <v>0</v>
      </c>
      <c r="U216" s="382"/>
      <c r="V216" s="382">
        <f t="shared" si="70"/>
        <v>0</v>
      </c>
    </row>
    <row r="217" spans="1:22" s="75" customFormat="1" ht="31.5" hidden="1" x14ac:dyDescent="0.25">
      <c r="A217" s="387" t="s">
        <v>439</v>
      </c>
      <c r="B217" s="387" t="s">
        <v>337</v>
      </c>
      <c r="C217" s="387" t="s">
        <v>61</v>
      </c>
      <c r="D217" s="392" t="s">
        <v>98</v>
      </c>
      <c r="E217" s="405">
        <f t="shared" si="73"/>
        <v>0</v>
      </c>
      <c r="F217" s="405"/>
      <c r="G217" s="405"/>
      <c r="H217" s="405"/>
      <c r="I217" s="405"/>
      <c r="J217" s="405">
        <f t="shared" si="74"/>
        <v>0</v>
      </c>
      <c r="K217" s="413"/>
      <c r="L217" s="413"/>
      <c r="M217" s="413"/>
      <c r="N217" s="413"/>
      <c r="O217" s="413"/>
      <c r="P217" s="413"/>
      <c r="Q217" s="405">
        <f t="shared" si="75"/>
        <v>0</v>
      </c>
      <c r="R217" s="381">
        <f t="shared" si="76"/>
        <v>0</v>
      </c>
      <c r="S217" s="170">
        <f t="shared" si="77"/>
        <v>0</v>
      </c>
      <c r="T217" s="382">
        <f t="shared" si="69"/>
        <v>0</v>
      </c>
      <c r="U217" s="296"/>
      <c r="V217" s="382">
        <f t="shared" si="70"/>
        <v>0</v>
      </c>
    </row>
    <row r="218" spans="1:22" s="257" customFormat="1" ht="31.5" hidden="1" x14ac:dyDescent="0.25">
      <c r="A218" s="44" t="s">
        <v>433</v>
      </c>
      <c r="B218" s="44" t="s">
        <v>60</v>
      </c>
      <c r="C218" s="44" t="s">
        <v>100</v>
      </c>
      <c r="D218" s="42" t="s">
        <v>442</v>
      </c>
      <c r="E218" s="206">
        <f t="shared" si="73"/>
        <v>0</v>
      </c>
      <c r="F218" s="206"/>
      <c r="G218" s="206"/>
      <c r="H218" s="206"/>
      <c r="I218" s="206"/>
      <c r="J218" s="206"/>
      <c r="K218" s="206"/>
      <c r="L218" s="321"/>
      <c r="M218" s="321"/>
      <c r="N218" s="322"/>
      <c r="O218" s="322"/>
      <c r="P218" s="322"/>
      <c r="Q218" s="206"/>
      <c r="R218" s="381">
        <f t="shared" si="76"/>
        <v>0</v>
      </c>
      <c r="S218" s="170">
        <f t="shared" si="77"/>
        <v>0</v>
      </c>
      <c r="T218" s="382">
        <f t="shared" si="69"/>
        <v>0</v>
      </c>
      <c r="U218" s="296"/>
      <c r="V218" s="382">
        <f t="shared" si="70"/>
        <v>0</v>
      </c>
    </row>
    <row r="219" spans="1:22" s="257" customFormat="1" ht="15.75" hidden="1" x14ac:dyDescent="0.25">
      <c r="A219" s="44" t="s">
        <v>440</v>
      </c>
      <c r="B219" s="44" t="s">
        <v>366</v>
      </c>
      <c r="C219" s="44" t="s">
        <v>102</v>
      </c>
      <c r="D219" s="42" t="s">
        <v>367</v>
      </c>
      <c r="E219" s="206">
        <f t="shared" si="73"/>
        <v>0</v>
      </c>
      <c r="F219" s="206"/>
      <c r="G219" s="206"/>
      <c r="H219" s="206"/>
      <c r="I219" s="206"/>
      <c r="J219" s="206">
        <f t="shared" si="74"/>
        <v>0</v>
      </c>
      <c r="K219" s="322"/>
      <c r="L219" s="322"/>
      <c r="M219" s="322"/>
      <c r="N219" s="322"/>
      <c r="O219" s="322"/>
      <c r="P219" s="322"/>
      <c r="Q219" s="206">
        <f t="shared" si="75"/>
        <v>0</v>
      </c>
      <c r="R219" s="381">
        <f t="shared" si="76"/>
        <v>0</v>
      </c>
      <c r="S219" s="170"/>
      <c r="T219" s="382">
        <f t="shared" si="69"/>
        <v>0</v>
      </c>
      <c r="U219" s="296"/>
      <c r="V219" s="382">
        <f t="shared" si="70"/>
        <v>0</v>
      </c>
    </row>
    <row r="220" spans="1:22" s="257" customFormat="1" ht="47.25" hidden="1" x14ac:dyDescent="0.25">
      <c r="A220" s="44" t="s">
        <v>666</v>
      </c>
      <c r="B220" s="44" t="s">
        <v>62</v>
      </c>
      <c r="C220" s="44" t="s">
        <v>104</v>
      </c>
      <c r="D220" s="42" t="s">
        <v>105</v>
      </c>
      <c r="E220" s="206">
        <f t="shared" si="73"/>
        <v>0</v>
      </c>
      <c r="F220" s="206"/>
      <c r="G220" s="206"/>
      <c r="H220" s="206"/>
      <c r="I220" s="206"/>
      <c r="J220" s="206">
        <f t="shared" si="74"/>
        <v>0</v>
      </c>
      <c r="K220" s="206"/>
      <c r="L220" s="206"/>
      <c r="M220" s="206"/>
      <c r="N220" s="322"/>
      <c r="O220" s="322"/>
      <c r="P220" s="322"/>
      <c r="Q220" s="206">
        <f t="shared" si="75"/>
        <v>0</v>
      </c>
      <c r="R220" s="381">
        <f t="shared" si="76"/>
        <v>0</v>
      </c>
      <c r="S220" s="170"/>
      <c r="T220" s="382">
        <f t="shared" si="69"/>
        <v>0</v>
      </c>
      <c r="U220" s="296"/>
      <c r="V220" s="382">
        <f t="shared" si="70"/>
        <v>0</v>
      </c>
    </row>
    <row r="221" spans="1:22" s="257" customFormat="1" ht="31.5" hidden="1" x14ac:dyDescent="0.25">
      <c r="A221" s="44" t="s">
        <v>719</v>
      </c>
      <c r="B221" s="44" t="s">
        <v>339</v>
      </c>
      <c r="C221" s="44" t="s">
        <v>109</v>
      </c>
      <c r="D221" s="42" t="s">
        <v>624</v>
      </c>
      <c r="E221" s="206"/>
      <c r="F221" s="206"/>
      <c r="G221" s="206"/>
      <c r="H221" s="206"/>
      <c r="I221" s="206"/>
      <c r="J221" s="206">
        <f t="shared" si="74"/>
        <v>0</v>
      </c>
      <c r="K221" s="322"/>
      <c r="L221" s="322"/>
      <c r="M221" s="322"/>
      <c r="N221" s="322"/>
      <c r="O221" s="322"/>
      <c r="P221" s="322"/>
      <c r="Q221" s="206">
        <f>+J221+E221</f>
        <v>0</v>
      </c>
      <c r="R221" s="381">
        <f t="shared" si="76"/>
        <v>0</v>
      </c>
      <c r="S221" s="170"/>
      <c r="T221" s="382">
        <f t="shared" si="69"/>
        <v>0</v>
      </c>
      <c r="U221" s="296"/>
      <c r="V221" s="382">
        <f t="shared" si="70"/>
        <v>0</v>
      </c>
    </row>
    <row r="222" spans="1:22" s="406" customFormat="1" ht="15.75" hidden="1" x14ac:dyDescent="0.25">
      <c r="A222" s="44" t="s">
        <v>441</v>
      </c>
      <c r="B222" s="44" t="s">
        <v>106</v>
      </c>
      <c r="C222" s="44" t="s">
        <v>111</v>
      </c>
      <c r="D222" s="42" t="s">
        <v>340</v>
      </c>
      <c r="E222" s="206">
        <f t="shared" si="73"/>
        <v>0</v>
      </c>
      <c r="F222" s="206"/>
      <c r="G222" s="206"/>
      <c r="H222" s="206"/>
      <c r="I222" s="206"/>
      <c r="J222" s="206">
        <f t="shared" si="74"/>
        <v>0</v>
      </c>
      <c r="K222" s="322"/>
      <c r="L222" s="322"/>
      <c r="M222" s="322"/>
      <c r="N222" s="322"/>
      <c r="O222" s="322"/>
      <c r="P222" s="322"/>
      <c r="Q222" s="206">
        <f t="shared" si="75"/>
        <v>0</v>
      </c>
      <c r="R222" s="381">
        <f t="shared" si="76"/>
        <v>0</v>
      </c>
      <c r="S222" s="403">
        <f>R223-Q223</f>
        <v>0</v>
      </c>
      <c r="T222" s="382">
        <f t="shared" si="69"/>
        <v>0</v>
      </c>
      <c r="U222" s="382"/>
      <c r="V222" s="382">
        <f t="shared" si="70"/>
        <v>0</v>
      </c>
    </row>
    <row r="223" spans="1:22" s="406" customFormat="1" ht="63" hidden="1" x14ac:dyDescent="0.25">
      <c r="A223" s="389" t="s">
        <v>434</v>
      </c>
      <c r="B223" s="389" t="s">
        <v>135</v>
      </c>
      <c r="C223" s="389" t="s">
        <v>136</v>
      </c>
      <c r="D223" s="390" t="s">
        <v>137</v>
      </c>
      <c r="E223" s="391">
        <f t="shared" ref="E223:E232" si="78">F223+I223</f>
        <v>0</v>
      </c>
      <c r="F223" s="391"/>
      <c r="G223" s="391"/>
      <c r="H223" s="391"/>
      <c r="I223" s="391"/>
      <c r="J223" s="391">
        <f t="shared" ref="J223:J234" si="79">+K223+N223</f>
        <v>0</v>
      </c>
      <c r="K223" s="469"/>
      <c r="L223" s="469"/>
      <c r="M223" s="469"/>
      <c r="N223" s="414"/>
      <c r="O223" s="414"/>
      <c r="P223" s="414"/>
      <c r="Q223" s="391">
        <f t="shared" ref="Q223:Q234" si="80">+J223+E223</f>
        <v>0</v>
      </c>
      <c r="R223" s="381">
        <f t="shared" si="76"/>
        <v>0</v>
      </c>
      <c r="S223" s="403">
        <f>R224-Q224</f>
        <v>0</v>
      </c>
      <c r="T223" s="382">
        <f t="shared" si="69"/>
        <v>0</v>
      </c>
      <c r="U223" s="382"/>
      <c r="V223" s="382">
        <f t="shared" si="70"/>
        <v>0</v>
      </c>
    </row>
    <row r="224" spans="1:22" s="182" customFormat="1" ht="126" hidden="1" x14ac:dyDescent="0.25">
      <c r="A224" s="389" t="s">
        <v>435</v>
      </c>
      <c r="B224" s="389" t="s">
        <v>138</v>
      </c>
      <c r="C224" s="389" t="s">
        <v>139</v>
      </c>
      <c r="D224" s="390" t="s">
        <v>83</v>
      </c>
      <c r="E224" s="391">
        <f t="shared" si="78"/>
        <v>0</v>
      </c>
      <c r="F224" s="391"/>
      <c r="G224" s="391"/>
      <c r="H224" s="391"/>
      <c r="I224" s="391"/>
      <c r="J224" s="391">
        <f t="shared" si="79"/>
        <v>0</v>
      </c>
      <c r="K224" s="469"/>
      <c r="L224" s="469"/>
      <c r="M224" s="469"/>
      <c r="N224" s="414"/>
      <c r="O224" s="414"/>
      <c r="P224" s="414"/>
      <c r="Q224" s="391">
        <f t="shared" si="80"/>
        <v>0</v>
      </c>
      <c r="R224" s="381">
        <f t="shared" si="76"/>
        <v>0</v>
      </c>
      <c r="S224" s="170">
        <f>R225-Q225</f>
        <v>0</v>
      </c>
      <c r="T224" s="382">
        <f t="shared" si="69"/>
        <v>0</v>
      </c>
      <c r="U224" s="296"/>
      <c r="V224" s="382">
        <f t="shared" si="70"/>
        <v>0</v>
      </c>
    </row>
    <row r="225" spans="1:22" s="182" customFormat="1" ht="31.5" hidden="1" x14ac:dyDescent="0.25">
      <c r="A225" s="181" t="s">
        <v>436</v>
      </c>
      <c r="B225" s="181" t="s">
        <v>140</v>
      </c>
      <c r="C225" s="181" t="s">
        <v>136</v>
      </c>
      <c r="D225" s="50" t="s">
        <v>627</v>
      </c>
      <c r="E225" s="207">
        <f t="shared" si="78"/>
        <v>0</v>
      </c>
      <c r="F225" s="207"/>
      <c r="G225" s="207"/>
      <c r="H225" s="207"/>
      <c r="I225" s="207"/>
      <c r="J225" s="207">
        <f t="shared" si="79"/>
        <v>0</v>
      </c>
      <c r="K225" s="470"/>
      <c r="L225" s="470"/>
      <c r="M225" s="470"/>
      <c r="N225" s="323"/>
      <c r="O225" s="323"/>
      <c r="P225" s="323"/>
      <c r="Q225" s="207">
        <f t="shared" si="80"/>
        <v>0</v>
      </c>
      <c r="R225" s="381">
        <f t="shared" si="76"/>
        <v>0</v>
      </c>
      <c r="S225" s="170"/>
      <c r="T225" s="382">
        <f t="shared" si="69"/>
        <v>0</v>
      </c>
      <c r="U225" s="296"/>
      <c r="V225" s="382">
        <f t="shared" si="70"/>
        <v>0</v>
      </c>
    </row>
    <row r="226" spans="1:22" s="257" customFormat="1" ht="31.5" hidden="1" x14ac:dyDescent="0.25">
      <c r="A226" s="181" t="s">
        <v>808</v>
      </c>
      <c r="B226" s="181" t="s">
        <v>141</v>
      </c>
      <c r="C226" s="183" t="s">
        <v>136</v>
      </c>
      <c r="D226" s="50" t="s">
        <v>376</v>
      </c>
      <c r="E226" s="207"/>
      <c r="F226" s="207"/>
      <c r="G226" s="207"/>
      <c r="H226" s="207"/>
      <c r="I226" s="207"/>
      <c r="J226" s="207">
        <f t="shared" si="79"/>
        <v>0</v>
      </c>
      <c r="K226" s="470"/>
      <c r="L226" s="470"/>
      <c r="M226" s="470"/>
      <c r="N226" s="323"/>
      <c r="O226" s="323"/>
      <c r="P226" s="323"/>
      <c r="Q226" s="207">
        <f>+J226+E226</f>
        <v>0</v>
      </c>
      <c r="R226" s="381">
        <f t="shared" si="76"/>
        <v>0</v>
      </c>
      <c r="S226" s="170">
        <f>R227-Q227</f>
        <v>0</v>
      </c>
      <c r="T226" s="382">
        <f t="shared" si="69"/>
        <v>0</v>
      </c>
      <c r="U226" s="296"/>
      <c r="V226" s="382">
        <f t="shared" si="70"/>
        <v>0</v>
      </c>
    </row>
    <row r="227" spans="1:22" ht="47.25" hidden="1" x14ac:dyDescent="0.25">
      <c r="A227" s="181" t="s">
        <v>437</v>
      </c>
      <c r="B227" s="181" t="s">
        <v>258</v>
      </c>
      <c r="C227" s="183" t="s">
        <v>15</v>
      </c>
      <c r="D227" s="184" t="s">
        <v>65</v>
      </c>
      <c r="E227" s="204">
        <f t="shared" si="78"/>
        <v>0</v>
      </c>
      <c r="F227" s="204"/>
      <c r="G227" s="204"/>
      <c r="H227" s="204"/>
      <c r="I227" s="204"/>
      <c r="J227" s="204">
        <f t="shared" si="79"/>
        <v>0</v>
      </c>
      <c r="K227" s="210"/>
      <c r="L227" s="210"/>
      <c r="M227" s="210"/>
      <c r="N227" s="320"/>
      <c r="O227" s="320"/>
      <c r="P227" s="320"/>
      <c r="Q227" s="204">
        <f t="shared" si="80"/>
        <v>0</v>
      </c>
      <c r="R227" s="381">
        <f t="shared" si="76"/>
        <v>0</v>
      </c>
      <c r="S227" s="403">
        <f>R228-Q228</f>
        <v>0</v>
      </c>
      <c r="T227" s="382">
        <f t="shared" si="69"/>
        <v>0</v>
      </c>
      <c r="U227" s="382"/>
      <c r="V227" s="382">
        <f t="shared" si="70"/>
        <v>0</v>
      </c>
    </row>
    <row r="228" spans="1:22" s="257" customFormat="1" ht="15.75" hidden="1" x14ac:dyDescent="0.25">
      <c r="A228" s="387" t="s">
        <v>443</v>
      </c>
      <c r="B228" s="387" t="s">
        <v>220</v>
      </c>
      <c r="C228" s="387" t="s">
        <v>130</v>
      </c>
      <c r="D228" s="392" t="s">
        <v>353</v>
      </c>
      <c r="E228" s="385">
        <f t="shared" si="78"/>
        <v>0</v>
      </c>
      <c r="F228" s="385"/>
      <c r="G228" s="385"/>
      <c r="H228" s="385"/>
      <c r="I228" s="385"/>
      <c r="J228" s="204">
        <f t="shared" si="79"/>
        <v>0</v>
      </c>
      <c r="K228" s="468"/>
      <c r="L228" s="468"/>
      <c r="M228" s="468"/>
      <c r="N228" s="412"/>
      <c r="O228" s="412"/>
      <c r="P228" s="412"/>
      <c r="Q228" s="385">
        <f t="shared" si="80"/>
        <v>0</v>
      </c>
      <c r="R228" s="381">
        <f t="shared" si="76"/>
        <v>0</v>
      </c>
      <c r="S228" s="170">
        <f>R229-Q229</f>
        <v>0</v>
      </c>
      <c r="T228" s="382">
        <f t="shared" si="69"/>
        <v>0</v>
      </c>
      <c r="U228" s="296"/>
      <c r="V228" s="382">
        <f t="shared" si="70"/>
        <v>0</v>
      </c>
    </row>
    <row r="229" spans="1:22" s="257" customFormat="1" ht="15.75" hidden="1" x14ac:dyDescent="0.25">
      <c r="A229" s="44" t="s">
        <v>444</v>
      </c>
      <c r="B229" s="44" t="s">
        <v>407</v>
      </c>
      <c r="C229" s="44" t="s">
        <v>130</v>
      </c>
      <c r="D229" s="42" t="s">
        <v>408</v>
      </c>
      <c r="E229" s="204">
        <f t="shared" si="78"/>
        <v>0</v>
      </c>
      <c r="F229" s="204"/>
      <c r="G229" s="204"/>
      <c r="H229" s="204"/>
      <c r="I229" s="204"/>
      <c r="J229" s="204">
        <f t="shared" si="79"/>
        <v>0</v>
      </c>
      <c r="K229" s="471"/>
      <c r="L229" s="471"/>
      <c r="M229" s="471"/>
      <c r="N229" s="320"/>
      <c r="O229" s="320"/>
      <c r="P229" s="320"/>
      <c r="Q229" s="204">
        <f t="shared" si="80"/>
        <v>0</v>
      </c>
      <c r="R229" s="381">
        <f t="shared" si="76"/>
        <v>0</v>
      </c>
      <c r="S229" s="170"/>
      <c r="T229" s="382">
        <f t="shared" si="69"/>
        <v>0</v>
      </c>
      <c r="U229" s="296"/>
      <c r="V229" s="382">
        <f t="shared" si="70"/>
        <v>0</v>
      </c>
    </row>
    <row r="230" spans="1:22" s="257" customFormat="1" ht="31.5" hidden="1" x14ac:dyDescent="0.25">
      <c r="A230" s="44" t="s">
        <v>655</v>
      </c>
      <c r="B230" s="44" t="s">
        <v>523</v>
      </c>
      <c r="C230" s="44" t="s">
        <v>222</v>
      </c>
      <c r="D230" s="42" t="s">
        <v>656</v>
      </c>
      <c r="E230" s="204">
        <f t="shared" si="78"/>
        <v>0</v>
      </c>
      <c r="F230" s="204"/>
      <c r="G230" s="204"/>
      <c r="H230" s="204"/>
      <c r="I230" s="204"/>
      <c r="J230" s="204">
        <f t="shared" si="79"/>
        <v>0</v>
      </c>
      <c r="K230" s="210"/>
      <c r="L230" s="210"/>
      <c r="M230" s="210"/>
      <c r="N230" s="320"/>
      <c r="O230" s="320"/>
      <c r="P230" s="320"/>
      <c r="Q230" s="204">
        <f t="shared" si="80"/>
        <v>0</v>
      </c>
      <c r="R230" s="381">
        <f t="shared" si="76"/>
        <v>0</v>
      </c>
      <c r="S230" s="170"/>
      <c r="T230" s="382">
        <f t="shared" si="69"/>
        <v>0</v>
      </c>
      <c r="U230" s="296"/>
      <c r="V230" s="382">
        <f t="shared" si="70"/>
        <v>0</v>
      </c>
    </row>
    <row r="231" spans="1:22" s="410" customFormat="1" ht="15.75" hidden="1" x14ac:dyDescent="0.25">
      <c r="A231" s="44" t="s">
        <v>657</v>
      </c>
      <c r="B231" s="44" t="s">
        <v>580</v>
      </c>
      <c r="C231" s="44" t="s">
        <v>222</v>
      </c>
      <c r="D231" s="42" t="s">
        <v>658</v>
      </c>
      <c r="E231" s="204">
        <f t="shared" si="78"/>
        <v>0</v>
      </c>
      <c r="F231" s="204"/>
      <c r="G231" s="204"/>
      <c r="H231" s="204"/>
      <c r="I231" s="204"/>
      <c r="J231" s="204">
        <f t="shared" si="79"/>
        <v>0</v>
      </c>
      <c r="K231" s="210"/>
      <c r="L231" s="210"/>
      <c r="M231" s="210"/>
      <c r="N231" s="320"/>
      <c r="O231" s="320"/>
      <c r="P231" s="320"/>
      <c r="Q231" s="204">
        <f t="shared" si="80"/>
        <v>0</v>
      </c>
      <c r="R231" s="381">
        <f t="shared" si="76"/>
        <v>0</v>
      </c>
      <c r="S231" s="403">
        <f>R232-Q232</f>
        <v>0</v>
      </c>
      <c r="T231" s="382">
        <f t="shared" si="69"/>
        <v>0</v>
      </c>
      <c r="U231" s="382"/>
      <c r="V231" s="382">
        <f t="shared" si="70"/>
        <v>0</v>
      </c>
    </row>
    <row r="232" spans="1:22" s="147" customFormat="1" ht="47.25" hidden="1" x14ac:dyDescent="0.25">
      <c r="A232" s="389" t="s">
        <v>438</v>
      </c>
      <c r="B232" s="389" t="s">
        <v>266</v>
      </c>
      <c r="C232" s="389" t="s">
        <v>233</v>
      </c>
      <c r="D232" s="390" t="s">
        <v>41</v>
      </c>
      <c r="E232" s="391">
        <f t="shared" si="78"/>
        <v>0</v>
      </c>
      <c r="F232" s="391"/>
      <c r="G232" s="391"/>
      <c r="H232" s="391"/>
      <c r="I232" s="391"/>
      <c r="J232" s="391">
        <f t="shared" si="79"/>
        <v>0</v>
      </c>
      <c r="K232" s="469"/>
      <c r="L232" s="469"/>
      <c r="M232" s="469"/>
      <c r="N232" s="414"/>
      <c r="O232" s="414"/>
      <c r="P232" s="414"/>
      <c r="Q232" s="391">
        <f t="shared" si="80"/>
        <v>0</v>
      </c>
      <c r="R232" s="381">
        <f t="shared" si="76"/>
        <v>0</v>
      </c>
      <c r="S232" s="170"/>
      <c r="T232" s="382">
        <f t="shared" si="69"/>
        <v>0</v>
      </c>
      <c r="U232" s="296"/>
      <c r="V232" s="382">
        <f t="shared" si="70"/>
        <v>0</v>
      </c>
    </row>
    <row r="233" spans="1:22" s="257" customFormat="1" ht="31.5" hidden="1" x14ac:dyDescent="0.25">
      <c r="A233" s="181" t="s">
        <v>664</v>
      </c>
      <c r="B233" s="181" t="s">
        <v>195</v>
      </c>
      <c r="C233" s="181" t="s">
        <v>233</v>
      </c>
      <c r="D233" s="50" t="s">
        <v>665</v>
      </c>
      <c r="E233" s="207"/>
      <c r="F233" s="207"/>
      <c r="G233" s="207"/>
      <c r="H233" s="207"/>
      <c r="I233" s="207"/>
      <c r="J233" s="207">
        <f t="shared" si="79"/>
        <v>0</v>
      </c>
      <c r="K233" s="472"/>
      <c r="L233" s="470"/>
      <c r="M233" s="470"/>
      <c r="N233" s="323"/>
      <c r="O233" s="323"/>
      <c r="P233" s="323"/>
      <c r="Q233" s="207">
        <f t="shared" si="80"/>
        <v>0</v>
      </c>
      <c r="R233" s="381">
        <f t="shared" si="76"/>
        <v>0</v>
      </c>
      <c r="S233" s="170">
        <f>R234-Q234</f>
        <v>0</v>
      </c>
      <c r="T233" s="382">
        <f t="shared" si="69"/>
        <v>0</v>
      </c>
      <c r="U233" s="296"/>
      <c r="V233" s="382">
        <f t="shared" si="70"/>
        <v>0</v>
      </c>
    </row>
    <row r="234" spans="1:22" s="147" customFormat="1" ht="31.5" hidden="1" x14ac:dyDescent="0.25">
      <c r="A234" s="166" t="s">
        <v>589</v>
      </c>
      <c r="B234" s="166" t="s">
        <v>590</v>
      </c>
      <c r="C234" s="166" t="s">
        <v>411</v>
      </c>
      <c r="D234" s="258" t="s">
        <v>632</v>
      </c>
      <c r="E234" s="627">
        <f>F234+I234</f>
        <v>0</v>
      </c>
      <c r="F234" s="650"/>
      <c r="G234" s="627"/>
      <c r="H234" s="627"/>
      <c r="I234" s="627"/>
      <c r="J234" s="627">
        <f t="shared" si="79"/>
        <v>0</v>
      </c>
      <c r="K234" s="651"/>
      <c r="L234" s="627"/>
      <c r="M234" s="627"/>
      <c r="N234" s="650"/>
      <c r="O234" s="650"/>
      <c r="P234" s="650"/>
      <c r="Q234" s="652">
        <f t="shared" si="80"/>
        <v>0</v>
      </c>
      <c r="R234" s="381">
        <f t="shared" si="76"/>
        <v>0</v>
      </c>
      <c r="S234" s="170" t="s">
        <v>1009</v>
      </c>
      <c r="T234" s="382">
        <f t="shared" si="69"/>
        <v>0</v>
      </c>
      <c r="U234" s="588"/>
      <c r="V234" s="382">
        <f t="shared" si="70"/>
        <v>0</v>
      </c>
    </row>
    <row r="235" spans="1:22" s="147" customFormat="1" ht="37.5" x14ac:dyDescent="0.25">
      <c r="A235" s="44" t="s">
        <v>445</v>
      </c>
      <c r="B235" s="44" t="s">
        <v>446</v>
      </c>
      <c r="C235" s="44" t="s">
        <v>411</v>
      </c>
      <c r="D235" s="42" t="s">
        <v>1041</v>
      </c>
      <c r="E235" s="205">
        <f t="shared" ref="E235:E248" si="81">F235+I235</f>
        <v>0</v>
      </c>
      <c r="F235" s="205"/>
      <c r="G235" s="205"/>
      <c r="H235" s="54"/>
      <c r="I235" s="54"/>
      <c r="J235" s="54">
        <f t="shared" ref="J235:J248" si="82">+K235+N235</f>
        <v>3307937</v>
      </c>
      <c r="K235" s="490"/>
      <c r="L235" s="490"/>
      <c r="M235" s="490"/>
      <c r="N235" s="54">
        <f>1612500+1427608-1427600+1845000+2105000+150000-49317+300000-2655254</f>
        <v>3307937</v>
      </c>
      <c r="O235" s="54">
        <f>1612500+1427608-1427600+1845000+2105000+150000-49317+300000-2655254</f>
        <v>3307937</v>
      </c>
      <c r="P235" s="54">
        <f>1612500+1427608-1427600+1845000+2105000+150000-49317+300000-2655254</f>
        <v>3307937</v>
      </c>
      <c r="Q235" s="54">
        <f t="shared" ref="Q235:Q248" si="83">J235+E235</f>
        <v>3307937</v>
      </c>
      <c r="R235" s="381">
        <f t="shared" si="76"/>
        <v>3307937</v>
      </c>
      <c r="S235" s="147" t="s">
        <v>1009</v>
      </c>
      <c r="T235" s="382">
        <f t="shared" si="69"/>
        <v>-1082900</v>
      </c>
      <c r="U235" s="525"/>
      <c r="V235" s="382">
        <f>O236-N236</f>
        <v>0</v>
      </c>
    </row>
    <row r="236" spans="1:22" s="147" customFormat="1" ht="18.75" x14ac:dyDescent="0.25">
      <c r="A236" s="44" t="s">
        <v>448</v>
      </c>
      <c r="B236" s="44" t="s">
        <v>449</v>
      </c>
      <c r="C236" s="44" t="s">
        <v>411</v>
      </c>
      <c r="D236" s="42" t="s">
        <v>985</v>
      </c>
      <c r="E236" s="205">
        <f t="shared" si="81"/>
        <v>0</v>
      </c>
      <c r="F236" s="205"/>
      <c r="G236" s="205"/>
      <c r="H236" s="54"/>
      <c r="I236" s="54"/>
      <c r="J236" s="54">
        <f t="shared" si="82"/>
        <v>13980382</v>
      </c>
      <c r="K236" s="490"/>
      <c r="L236" s="490"/>
      <c r="M236" s="490"/>
      <c r="N236" s="54">
        <f>200000+6500000-417100+4754000+619000+1447005+50000-1000000+1827477</f>
        <v>13980382</v>
      </c>
      <c r="O236" s="54">
        <f>200000+6500000-417100+4754000+619000+1447005+50000-1000000+1827477</f>
        <v>13980382</v>
      </c>
      <c r="P236" s="54">
        <f>200000+5000000+4754000+619000+1447005+50000-1000000+1827477</f>
        <v>12897482</v>
      </c>
      <c r="Q236" s="54">
        <f t="shared" si="83"/>
        <v>13980382</v>
      </c>
      <c r="R236" s="381">
        <f t="shared" si="76"/>
        <v>13980382</v>
      </c>
      <c r="S236" s="147" t="s">
        <v>1028</v>
      </c>
      <c r="T236" s="382">
        <f t="shared" si="69"/>
        <v>0</v>
      </c>
      <c r="U236" s="296"/>
      <c r="V236" s="382"/>
    </row>
    <row r="237" spans="1:22" s="147" customFormat="1" ht="34.5" hidden="1" x14ac:dyDescent="0.25">
      <c r="A237" s="44" t="s">
        <v>975</v>
      </c>
      <c r="B237" s="44" t="s">
        <v>976</v>
      </c>
      <c r="C237" s="44" t="s">
        <v>411</v>
      </c>
      <c r="D237" s="455" t="s">
        <v>1042</v>
      </c>
      <c r="E237" s="204"/>
      <c r="F237" s="204"/>
      <c r="G237" s="204"/>
      <c r="H237" s="204"/>
      <c r="I237" s="204"/>
      <c r="J237" s="205">
        <f t="shared" si="82"/>
        <v>0</v>
      </c>
      <c r="K237" s="463"/>
      <c r="L237" s="463"/>
      <c r="M237" s="463"/>
      <c r="N237" s="205"/>
      <c r="O237" s="205"/>
      <c r="P237" s="205"/>
      <c r="Q237" s="491">
        <f t="shared" si="83"/>
        <v>0</v>
      </c>
      <c r="R237" s="381">
        <f t="shared" si="76"/>
        <v>0</v>
      </c>
      <c r="S237" s="147" t="s">
        <v>1007</v>
      </c>
      <c r="T237" s="382">
        <f t="shared" si="69"/>
        <v>0</v>
      </c>
      <c r="U237" s="296"/>
      <c r="V237" s="382">
        <f t="shared" si="70"/>
        <v>0</v>
      </c>
    </row>
    <row r="238" spans="1:22" s="410" customFormat="1" ht="18.75" x14ac:dyDescent="0.25">
      <c r="A238" s="44" t="s">
        <v>804</v>
      </c>
      <c r="B238" s="44" t="s">
        <v>621</v>
      </c>
      <c r="C238" s="44" t="s">
        <v>411</v>
      </c>
      <c r="D238" s="42" t="s">
        <v>1040</v>
      </c>
      <c r="E238" s="205"/>
      <c r="F238" s="205"/>
      <c r="G238" s="205"/>
      <c r="H238" s="54"/>
      <c r="I238" s="54"/>
      <c r="J238" s="54">
        <f t="shared" si="82"/>
        <v>348300</v>
      </c>
      <c r="K238" s="490"/>
      <c r="L238" s="490"/>
      <c r="M238" s="490"/>
      <c r="N238" s="54">
        <v>348300</v>
      </c>
      <c r="O238" s="54">
        <v>348300</v>
      </c>
      <c r="P238" s="54">
        <v>348300</v>
      </c>
      <c r="Q238" s="54">
        <f>J238+E238</f>
        <v>348300</v>
      </c>
      <c r="R238" s="381">
        <f t="shared" si="76"/>
        <v>348300</v>
      </c>
      <c r="S238" s="1417" t="s">
        <v>2091</v>
      </c>
      <c r="T238" s="382">
        <f t="shared" si="69"/>
        <v>-3968924</v>
      </c>
      <c r="U238" s="588"/>
      <c r="V238" s="382">
        <f t="shared" si="70"/>
        <v>0</v>
      </c>
    </row>
    <row r="239" spans="1:22" s="410" customFormat="1" ht="41.25" x14ac:dyDescent="0.25">
      <c r="A239" s="387" t="s">
        <v>592</v>
      </c>
      <c r="B239" s="387" t="s">
        <v>593</v>
      </c>
      <c r="C239" s="387" t="s">
        <v>411</v>
      </c>
      <c r="D239" s="392" t="s">
        <v>1043</v>
      </c>
      <c r="E239" s="491">
        <f t="shared" si="81"/>
        <v>0</v>
      </c>
      <c r="F239" s="491"/>
      <c r="G239" s="491"/>
      <c r="H239" s="492"/>
      <c r="I239" s="492"/>
      <c r="J239" s="54">
        <f t="shared" si="82"/>
        <v>4860152</v>
      </c>
      <c r="K239" s="913"/>
      <c r="L239" s="913"/>
      <c r="M239" s="913"/>
      <c r="N239" s="492">
        <f>4778924+83000-1772</f>
        <v>4860152</v>
      </c>
      <c r="O239" s="492">
        <f>4778924+83000-1772</f>
        <v>4860152</v>
      </c>
      <c r="P239" s="492">
        <f>810000+83000-1772</f>
        <v>891228</v>
      </c>
      <c r="Q239" s="492">
        <f t="shared" si="83"/>
        <v>4860152</v>
      </c>
      <c r="R239" s="381">
        <f t="shared" si="76"/>
        <v>4860152</v>
      </c>
      <c r="S239" s="403" t="s">
        <v>1009</v>
      </c>
      <c r="T239" s="382">
        <f t="shared" si="69"/>
        <v>0</v>
      </c>
      <c r="U239" s="382"/>
      <c r="V239" s="382">
        <f t="shared" si="70"/>
        <v>0</v>
      </c>
    </row>
    <row r="240" spans="1:22" s="257" customFormat="1" ht="34.5" x14ac:dyDescent="0.25">
      <c r="A240" s="387" t="s">
        <v>659</v>
      </c>
      <c r="B240" s="387" t="s">
        <v>660</v>
      </c>
      <c r="C240" s="387" t="s">
        <v>411</v>
      </c>
      <c r="D240" s="726" t="s">
        <v>794</v>
      </c>
      <c r="E240" s="491">
        <f t="shared" si="81"/>
        <v>0</v>
      </c>
      <c r="F240" s="491"/>
      <c r="G240" s="491"/>
      <c r="H240" s="492"/>
      <c r="I240" s="492"/>
      <c r="J240" s="54">
        <f t="shared" si="82"/>
        <v>819211</v>
      </c>
      <c r="K240" s="913"/>
      <c r="L240" s="913"/>
      <c r="M240" s="913"/>
      <c r="N240" s="492">
        <f>719211+100000</f>
        <v>819211</v>
      </c>
      <c r="O240" s="492">
        <f>719211+100000</f>
        <v>819211</v>
      </c>
      <c r="P240" s="492">
        <f>719211+100000</f>
        <v>819211</v>
      </c>
      <c r="Q240" s="492">
        <f t="shared" si="83"/>
        <v>819211</v>
      </c>
      <c r="R240" s="381">
        <f t="shared" si="76"/>
        <v>819211</v>
      </c>
      <c r="S240" s="601" t="s">
        <v>844</v>
      </c>
      <c r="T240" s="382">
        <f t="shared" si="69"/>
        <v>-1205900</v>
      </c>
      <c r="U240" s="296"/>
      <c r="V240" s="382">
        <f t="shared" si="70"/>
        <v>0</v>
      </c>
    </row>
    <row r="241" spans="1:22" ht="31.5" x14ac:dyDescent="0.25">
      <c r="A241" s="44" t="s">
        <v>451</v>
      </c>
      <c r="B241" s="44" t="s">
        <v>279</v>
      </c>
      <c r="C241" s="44" t="s">
        <v>411</v>
      </c>
      <c r="D241" s="42" t="s">
        <v>414</v>
      </c>
      <c r="E241" s="205">
        <f t="shared" si="81"/>
        <v>0</v>
      </c>
      <c r="F241" s="205"/>
      <c r="G241" s="205"/>
      <c r="H241" s="54"/>
      <c r="I241" s="54"/>
      <c r="J241" s="54">
        <f t="shared" si="82"/>
        <v>11510070</v>
      </c>
      <c r="K241" s="54"/>
      <c r="L241" s="54"/>
      <c r="M241" s="54"/>
      <c r="N241" s="54">
        <f>109200+11350870+50000</f>
        <v>11510070</v>
      </c>
      <c r="O241" s="54">
        <f>109200+11350870+50000</f>
        <v>11510070</v>
      </c>
      <c r="P241" s="54">
        <f>109200+10144970+50000</f>
        <v>10304170</v>
      </c>
      <c r="Q241" s="54">
        <f t="shared" si="83"/>
        <v>11510070</v>
      </c>
      <c r="R241" s="381">
        <f t="shared" si="76"/>
        <v>11510070</v>
      </c>
      <c r="S241" s="495" t="s">
        <v>844</v>
      </c>
      <c r="T241" s="382">
        <f t="shared" si="69"/>
        <v>-8724242</v>
      </c>
      <c r="U241" s="382"/>
      <c r="V241" s="382">
        <f t="shared" si="70"/>
        <v>0</v>
      </c>
    </row>
    <row r="242" spans="1:22" s="406" customFormat="1" ht="47.25" x14ac:dyDescent="0.25">
      <c r="A242" s="387" t="s">
        <v>644</v>
      </c>
      <c r="B242" s="387" t="s">
        <v>645</v>
      </c>
      <c r="C242" s="387" t="s">
        <v>224</v>
      </c>
      <c r="D242" s="415" t="s">
        <v>646</v>
      </c>
      <c r="E242" s="491">
        <f t="shared" si="81"/>
        <v>0</v>
      </c>
      <c r="F242" s="491"/>
      <c r="G242" s="491"/>
      <c r="H242" s="492"/>
      <c r="I242" s="492"/>
      <c r="J242" s="54">
        <f t="shared" si="82"/>
        <v>35082303</v>
      </c>
      <c r="K242" s="492"/>
      <c r="L242" s="492"/>
      <c r="M242" s="492"/>
      <c r="N242" s="492">
        <f>13431200+3825689+4224242+11138481-200000+1500000+1500000-1115086+777777</f>
        <v>35082303</v>
      </c>
      <c r="O242" s="492">
        <f>13431200+3825689+4224242+11138481-200000+1500000+1500000-1115086+777777</f>
        <v>35082303</v>
      </c>
      <c r="P242" s="492">
        <f>13431200+3825689+9638500-19-200000-1115086+777777</f>
        <v>26358061</v>
      </c>
      <c r="Q242" s="492">
        <f t="shared" si="83"/>
        <v>35082303</v>
      </c>
      <c r="R242" s="381">
        <f t="shared" si="76"/>
        <v>35082303</v>
      </c>
      <c r="S242" s="601" t="s">
        <v>844</v>
      </c>
      <c r="T242" s="382">
        <f t="shared" si="69"/>
        <v>0</v>
      </c>
      <c r="U242" s="382"/>
      <c r="V242" s="382">
        <f t="shared" si="70"/>
        <v>0</v>
      </c>
    </row>
    <row r="243" spans="1:22" ht="47.25" x14ac:dyDescent="0.25">
      <c r="A243" s="1054" t="s">
        <v>805</v>
      </c>
      <c r="B243" s="1054" t="s">
        <v>806</v>
      </c>
      <c r="C243" s="1054" t="s">
        <v>224</v>
      </c>
      <c r="D243" s="983" t="s">
        <v>807</v>
      </c>
      <c r="E243" s="656"/>
      <c r="F243" s="656"/>
      <c r="G243" s="656"/>
      <c r="H243" s="1340"/>
      <c r="I243" s="1340"/>
      <c r="J243" s="1340">
        <f t="shared" si="82"/>
        <v>6430000</v>
      </c>
      <c r="K243" s="1341"/>
      <c r="L243" s="1342"/>
      <c r="M243" s="1342"/>
      <c r="N243" s="1342">
        <f>1430000+5000000</f>
        <v>6430000</v>
      </c>
      <c r="O243" s="1342">
        <f>1430000+5000000</f>
        <v>6430000</v>
      </c>
      <c r="P243" s="1342">
        <f>1430000+5000000</f>
        <v>6430000</v>
      </c>
      <c r="Q243" s="1340">
        <f>J243+E243</f>
        <v>6430000</v>
      </c>
      <c r="R243" s="381">
        <f t="shared" si="76"/>
        <v>6430000</v>
      </c>
      <c r="S243" s="1415" t="s">
        <v>2089</v>
      </c>
      <c r="T243" s="382">
        <f t="shared" ref="T243:T310" si="84">P244-O244</f>
        <v>-12028858.48</v>
      </c>
      <c r="U243" s="382"/>
      <c r="V243" s="382">
        <f t="shared" si="70"/>
        <v>0</v>
      </c>
    </row>
    <row r="244" spans="1:22" ht="78.75" x14ac:dyDescent="0.25">
      <c r="A244" s="387" t="s">
        <v>661</v>
      </c>
      <c r="B244" s="387" t="s">
        <v>662</v>
      </c>
      <c r="C244" s="387" t="s">
        <v>224</v>
      </c>
      <c r="D244" s="415" t="s">
        <v>663</v>
      </c>
      <c r="E244" s="491">
        <f t="shared" si="81"/>
        <v>0</v>
      </c>
      <c r="F244" s="491"/>
      <c r="G244" s="491"/>
      <c r="H244" s="492"/>
      <c r="I244" s="492"/>
      <c r="J244" s="54">
        <f t="shared" si="82"/>
        <v>16680436.17</v>
      </c>
      <c r="K244" s="492"/>
      <c r="L244" s="492"/>
      <c r="M244" s="492"/>
      <c r="N244" s="492">
        <f>3299019.69+8979838.48+2448720+320000+230200+1352558+50100</f>
        <v>16680436.17</v>
      </c>
      <c r="O244" s="492">
        <f>2448720+3299019.69+320000+8979838.48+230200+1352558+50100</f>
        <v>16680436.17</v>
      </c>
      <c r="P244" s="492">
        <f>3299019.69+1352558</f>
        <v>4651577.6899999995</v>
      </c>
      <c r="Q244" s="492">
        <f t="shared" si="83"/>
        <v>16680436.17</v>
      </c>
      <c r="R244" s="381">
        <f t="shared" si="76"/>
        <v>16680436.17</v>
      </c>
      <c r="S244" s="495" t="s">
        <v>844</v>
      </c>
      <c r="T244" s="382">
        <f>P246-O246</f>
        <v>0</v>
      </c>
      <c r="U244" s="382"/>
      <c r="V244" s="382">
        <f>O246-N246</f>
        <v>0</v>
      </c>
    </row>
    <row r="245" spans="1:22" ht="63" x14ac:dyDescent="0.25">
      <c r="A245" s="387" t="s">
        <v>1016</v>
      </c>
      <c r="B245" s="387" t="s">
        <v>1017</v>
      </c>
      <c r="C245" s="387" t="s">
        <v>224</v>
      </c>
      <c r="D245" s="399" t="s">
        <v>1018</v>
      </c>
      <c r="E245" s="491">
        <f t="shared" si="81"/>
        <v>0</v>
      </c>
      <c r="F245" s="491"/>
      <c r="G245" s="491"/>
      <c r="H245" s="492"/>
      <c r="I245" s="492"/>
      <c r="J245" s="54">
        <f t="shared" si="82"/>
        <v>12838822.810000001</v>
      </c>
      <c r="K245" s="492"/>
      <c r="L245" s="492"/>
      <c r="M245" s="492"/>
      <c r="N245" s="492">
        <f>13066987.81+200000-428165</f>
        <v>12838822.810000001</v>
      </c>
      <c r="O245" s="913">
        <f>13066987.81+200000-428165</f>
        <v>12838822.810000001</v>
      </c>
      <c r="P245" s="492">
        <v>200000</v>
      </c>
      <c r="Q245" s="492">
        <f>J245+E245</f>
        <v>12838822.810000001</v>
      </c>
      <c r="R245" s="381">
        <f t="shared" si="76"/>
        <v>12838822.810000001</v>
      </c>
      <c r="S245" s="495"/>
      <c r="T245" s="382"/>
      <c r="U245" s="382"/>
      <c r="V245" s="382"/>
    </row>
    <row r="246" spans="1:22" s="75" customFormat="1" ht="31.5" x14ac:dyDescent="0.25">
      <c r="A246" s="387" t="s">
        <v>594</v>
      </c>
      <c r="B246" s="387" t="s">
        <v>595</v>
      </c>
      <c r="C246" s="387" t="s">
        <v>224</v>
      </c>
      <c r="D246" s="415" t="s">
        <v>596</v>
      </c>
      <c r="E246" s="491">
        <f t="shared" si="81"/>
        <v>800000</v>
      </c>
      <c r="F246" s="491">
        <v>800000</v>
      </c>
      <c r="G246" s="491"/>
      <c r="H246" s="492"/>
      <c r="I246" s="492"/>
      <c r="J246" s="54">
        <f t="shared" si="82"/>
        <v>0</v>
      </c>
      <c r="K246" s="492"/>
      <c r="L246" s="492"/>
      <c r="M246" s="492"/>
      <c r="N246" s="492"/>
      <c r="O246" s="492"/>
      <c r="P246" s="492"/>
      <c r="Q246" s="492">
        <f t="shared" si="83"/>
        <v>800000</v>
      </c>
      <c r="R246" s="381">
        <f t="shared" si="76"/>
        <v>800000</v>
      </c>
      <c r="S246" s="170">
        <f>R248-Q248</f>
        <v>0</v>
      </c>
      <c r="T246" s="382">
        <f>P248-O248</f>
        <v>0</v>
      </c>
      <c r="U246" s="296"/>
      <c r="V246" s="382">
        <f>O248-N248</f>
        <v>0</v>
      </c>
    </row>
    <row r="247" spans="1:22" s="75" customFormat="1" ht="47.25" x14ac:dyDescent="0.25">
      <c r="A247" s="387">
        <v>1617380</v>
      </c>
      <c r="B247" s="387">
        <v>7380</v>
      </c>
      <c r="C247" s="387" t="s">
        <v>224</v>
      </c>
      <c r="D247" s="392" t="s">
        <v>1864</v>
      </c>
      <c r="E247" s="491">
        <f>F247+I247</f>
        <v>0</v>
      </c>
      <c r="F247" s="491"/>
      <c r="G247" s="491"/>
      <c r="H247" s="492"/>
      <c r="I247" s="492"/>
      <c r="J247" s="54">
        <f>+K247+N247</f>
        <v>23500000</v>
      </c>
      <c r="K247" s="913"/>
      <c r="L247" s="913"/>
      <c r="M247" s="913"/>
      <c r="N247" s="913">
        <f>7000000+16500000</f>
        <v>23500000</v>
      </c>
      <c r="O247" s="913">
        <f>7000000+16500000</f>
        <v>23500000</v>
      </c>
      <c r="P247" s="913">
        <f>7000000+16500000</f>
        <v>23500000</v>
      </c>
      <c r="Q247" s="492">
        <f>J247+E247</f>
        <v>23500000</v>
      </c>
      <c r="R247" s="381">
        <f t="shared" si="76"/>
        <v>23500000</v>
      </c>
      <c r="S247" s="1416" t="s">
        <v>2090</v>
      </c>
      <c r="T247" s="382"/>
      <c r="U247" s="296"/>
      <c r="V247" s="382"/>
    </row>
    <row r="248" spans="1:22" s="31" customFormat="1" ht="15.75" hidden="1" x14ac:dyDescent="0.25">
      <c r="A248" s="615" t="s">
        <v>453</v>
      </c>
      <c r="B248" s="615" t="s">
        <v>454</v>
      </c>
      <c r="C248" s="615" t="s">
        <v>276</v>
      </c>
      <c r="D248" s="616" t="s">
        <v>243</v>
      </c>
      <c r="E248" s="668">
        <f t="shared" si="81"/>
        <v>0</v>
      </c>
      <c r="F248" s="668"/>
      <c r="G248" s="668"/>
      <c r="H248" s="668"/>
      <c r="I248" s="668"/>
      <c r="J248" s="706">
        <f t="shared" si="82"/>
        <v>0</v>
      </c>
      <c r="K248" s="707"/>
      <c r="L248" s="708"/>
      <c r="M248" s="708"/>
      <c r="N248" s="668"/>
      <c r="O248" s="668"/>
      <c r="P248" s="668"/>
      <c r="Q248" s="706">
        <f t="shared" si="83"/>
        <v>0</v>
      </c>
      <c r="R248" s="381">
        <f t="shared" si="76"/>
        <v>0</v>
      </c>
      <c r="S248" s="170">
        <f>R249-Q249</f>
        <v>0</v>
      </c>
      <c r="T248" s="382">
        <f t="shared" si="84"/>
        <v>0</v>
      </c>
      <c r="U248" s="296"/>
      <c r="V248" s="382">
        <f t="shared" si="70"/>
        <v>0</v>
      </c>
    </row>
    <row r="249" spans="1:22" s="75" customFormat="1" ht="31.5" hidden="1" x14ac:dyDescent="0.25">
      <c r="A249" s="44" t="s">
        <v>890</v>
      </c>
      <c r="B249" s="44" t="s">
        <v>481</v>
      </c>
      <c r="C249" s="44" t="s">
        <v>277</v>
      </c>
      <c r="D249" s="42" t="s">
        <v>482</v>
      </c>
      <c r="E249" s="325">
        <f t="shared" ref="E249:E258" si="85">F249+I249</f>
        <v>0</v>
      </c>
      <c r="F249" s="325"/>
      <c r="G249" s="51"/>
      <c r="H249" s="51"/>
      <c r="I249" s="51"/>
      <c r="J249" s="51">
        <f t="shared" ref="J249:J262" si="86">+K249+N249</f>
        <v>0</v>
      </c>
      <c r="K249" s="77"/>
      <c r="L249" s="53"/>
      <c r="M249" s="53"/>
      <c r="N249" s="51"/>
      <c r="O249" s="53"/>
      <c r="P249" s="53"/>
      <c r="Q249" s="51">
        <f t="shared" ref="Q249:Q262" si="87">J249+E249</f>
        <v>0</v>
      </c>
      <c r="R249" s="381">
        <f t="shared" si="76"/>
        <v>0</v>
      </c>
      <c r="S249" s="170">
        <f>R250-Q250</f>
        <v>0</v>
      </c>
      <c r="T249" s="382">
        <f t="shared" si="84"/>
        <v>0</v>
      </c>
      <c r="U249" s="296"/>
      <c r="V249" s="382">
        <f t="shared" si="70"/>
        <v>0</v>
      </c>
    </row>
    <row r="250" spans="1:22" s="369" customFormat="1" ht="15.75" hidden="1" x14ac:dyDescent="0.25">
      <c r="A250" s="166" t="s">
        <v>891</v>
      </c>
      <c r="B250" s="166" t="s">
        <v>283</v>
      </c>
      <c r="C250" s="166" t="s">
        <v>277</v>
      </c>
      <c r="D250" s="146" t="s">
        <v>483</v>
      </c>
      <c r="E250" s="653">
        <f t="shared" si="85"/>
        <v>0</v>
      </c>
      <c r="F250" s="650"/>
      <c r="G250" s="627"/>
      <c r="H250" s="627"/>
      <c r="I250" s="627"/>
      <c r="J250" s="252">
        <f t="shared" si="86"/>
        <v>0</v>
      </c>
      <c r="K250" s="353"/>
      <c r="L250" s="303"/>
      <c r="M250" s="303"/>
      <c r="N250" s="303"/>
      <c r="O250" s="303"/>
      <c r="P250" s="303"/>
      <c r="Q250" s="252">
        <f t="shared" si="87"/>
        <v>0</v>
      </c>
      <c r="R250" s="381">
        <f t="shared" si="76"/>
        <v>0</v>
      </c>
      <c r="S250" s="495" t="s">
        <v>844</v>
      </c>
      <c r="T250" s="382">
        <f t="shared" si="84"/>
        <v>0</v>
      </c>
      <c r="U250" s="382"/>
      <c r="V250" s="382">
        <f t="shared" si="70"/>
        <v>0</v>
      </c>
    </row>
    <row r="251" spans="1:22" s="369" customFormat="1" ht="47.25" hidden="1" x14ac:dyDescent="0.25">
      <c r="A251" s="398">
        <v>1617461</v>
      </c>
      <c r="B251" s="398">
        <v>7461</v>
      </c>
      <c r="C251" s="387" t="s">
        <v>277</v>
      </c>
      <c r="D251" s="392" t="s">
        <v>605</v>
      </c>
      <c r="E251" s="325">
        <f t="shared" si="85"/>
        <v>0</v>
      </c>
      <c r="F251" s="269"/>
      <c r="G251" s="396"/>
      <c r="H251" s="396"/>
      <c r="I251" s="396"/>
      <c r="J251" s="51">
        <f t="shared" si="86"/>
        <v>0</v>
      </c>
      <c r="K251" s="421"/>
      <c r="L251" s="421"/>
      <c r="M251" s="421"/>
      <c r="N251" s="396"/>
      <c r="O251" s="421"/>
      <c r="P251" s="421"/>
      <c r="Q251" s="396">
        <f t="shared" si="87"/>
        <v>0</v>
      </c>
      <c r="R251" s="381">
        <f t="shared" si="76"/>
        <v>0</v>
      </c>
      <c r="S251" s="589" t="s">
        <v>844</v>
      </c>
      <c r="T251" s="382">
        <f t="shared" si="84"/>
        <v>0</v>
      </c>
      <c r="U251" s="382"/>
      <c r="V251" s="382">
        <f t="shared" si="70"/>
        <v>-1066353311</v>
      </c>
    </row>
    <row r="252" spans="1:22" s="369" customFormat="1" ht="47.25" x14ac:dyDescent="0.25">
      <c r="A252" s="398">
        <v>1617462</v>
      </c>
      <c r="B252" s="398">
        <v>7462</v>
      </c>
      <c r="C252" s="387" t="s">
        <v>277</v>
      </c>
      <c r="D252" s="392" t="s">
        <v>614</v>
      </c>
      <c r="E252" s="920">
        <f t="shared" si="85"/>
        <v>0</v>
      </c>
      <c r="F252" s="921"/>
      <c r="G252" s="492"/>
      <c r="H252" s="492"/>
      <c r="I252" s="492"/>
      <c r="J252" s="54">
        <f t="shared" si="86"/>
        <v>1335374451.8</v>
      </c>
      <c r="K252" s="913">
        <f>190214200+56034040.8+6503593.15-6503593.15+22772900</f>
        <v>269021140.80000001</v>
      </c>
      <c r="L252" s="913"/>
      <c r="M252" s="913"/>
      <c r="N252" s="492">
        <f>760856600+219838511-6503593.15+1503593.15+90658200</f>
        <v>1066353311</v>
      </c>
      <c r="O252" s="913"/>
      <c r="P252" s="913"/>
      <c r="Q252" s="492">
        <f t="shared" si="87"/>
        <v>1335374451.8</v>
      </c>
      <c r="R252" s="381">
        <f t="shared" si="76"/>
        <v>1335374451.8</v>
      </c>
      <c r="S252" s="589" t="s">
        <v>844</v>
      </c>
      <c r="T252" s="591">
        <f t="shared" si="84"/>
        <v>0</v>
      </c>
      <c r="U252" s="382"/>
      <c r="V252" s="382">
        <f>O253-N253</f>
        <v>0</v>
      </c>
    </row>
    <row r="253" spans="1:22" s="185" customFormat="1" ht="63" x14ac:dyDescent="0.25">
      <c r="A253" s="398">
        <v>1617463</v>
      </c>
      <c r="B253" s="398">
        <v>7463</v>
      </c>
      <c r="C253" s="387" t="s">
        <v>277</v>
      </c>
      <c r="D253" s="392" t="s">
        <v>941</v>
      </c>
      <c r="E253" s="920">
        <f t="shared" si="85"/>
        <v>3270620</v>
      </c>
      <c r="F253" s="921">
        <f>1635310+1635310</f>
        <v>3270620</v>
      </c>
      <c r="G253" s="492"/>
      <c r="H253" s="492"/>
      <c r="I253" s="492"/>
      <c r="J253" s="54">
        <f t="shared" si="86"/>
        <v>0</v>
      </c>
      <c r="K253" s="913"/>
      <c r="L253" s="913"/>
      <c r="M253" s="913"/>
      <c r="N253" s="492">
        <f>800000-800000+430000-430000</f>
        <v>0</v>
      </c>
      <c r="O253" s="492">
        <f>800000-800000+430000-430000</f>
        <v>0</v>
      </c>
      <c r="P253" s="913"/>
      <c r="Q253" s="54">
        <f t="shared" si="87"/>
        <v>3270620</v>
      </c>
      <c r="R253" s="381">
        <f t="shared" si="76"/>
        <v>3270620</v>
      </c>
      <c r="S253" s="590" t="s">
        <v>844</v>
      </c>
      <c r="T253" s="382">
        <f t="shared" si="84"/>
        <v>0</v>
      </c>
      <c r="U253" s="382"/>
      <c r="V253" s="382">
        <f t="shared" ref="V253:V259" si="88">O254-N254</f>
        <v>-3007928.25</v>
      </c>
    </row>
    <row r="254" spans="1:22" ht="126" x14ac:dyDescent="0.25">
      <c r="A254" s="40">
        <v>1617464</v>
      </c>
      <c r="B254" s="40">
        <v>7464</v>
      </c>
      <c r="C254" s="44" t="s">
        <v>277</v>
      </c>
      <c r="D254" s="42" t="s">
        <v>709</v>
      </c>
      <c r="E254" s="920">
        <f t="shared" si="85"/>
        <v>0</v>
      </c>
      <c r="F254" s="920"/>
      <c r="G254" s="54"/>
      <c r="H254" s="54"/>
      <c r="I254" s="54"/>
      <c r="J254" s="54">
        <f t="shared" si="86"/>
        <v>3007928.25</v>
      </c>
      <c r="K254" s="490">
        <f>1577431.89-1577431.89</f>
        <v>0</v>
      </c>
      <c r="L254" s="490"/>
      <c r="M254" s="490"/>
      <c r="N254" s="54">
        <f>1430496.36+1577431.89</f>
        <v>3007928.25</v>
      </c>
      <c r="O254" s="490"/>
      <c r="P254" s="490"/>
      <c r="Q254" s="54">
        <f t="shared" si="87"/>
        <v>3007928.25</v>
      </c>
      <c r="R254" s="381">
        <f t="shared" si="76"/>
        <v>3007928.25</v>
      </c>
      <c r="S254" s="589" t="s">
        <v>844</v>
      </c>
      <c r="T254" s="382">
        <f t="shared" si="84"/>
        <v>0</v>
      </c>
      <c r="U254" s="382"/>
      <c r="V254" s="382">
        <f t="shared" si="88"/>
        <v>0</v>
      </c>
    </row>
    <row r="255" spans="1:22" s="75" customFormat="1" ht="15.75" hidden="1" x14ac:dyDescent="0.25">
      <c r="A255" s="387" t="s">
        <v>597</v>
      </c>
      <c r="B255" s="387" t="s">
        <v>598</v>
      </c>
      <c r="C255" s="387" t="s">
        <v>587</v>
      </c>
      <c r="D255" s="415" t="s">
        <v>599</v>
      </c>
      <c r="E255" s="325">
        <f t="shared" si="85"/>
        <v>0</v>
      </c>
      <c r="F255" s="385"/>
      <c r="G255" s="385"/>
      <c r="H255" s="385"/>
      <c r="I255" s="385"/>
      <c r="J255" s="204">
        <f>+K255+N255</f>
        <v>0</v>
      </c>
      <c r="K255" s="385"/>
      <c r="L255" s="385"/>
      <c r="M255" s="385"/>
      <c r="N255" s="385"/>
      <c r="O255" s="385"/>
      <c r="P255" s="385"/>
      <c r="Q255" s="385">
        <f t="shared" si="87"/>
        <v>0</v>
      </c>
      <c r="R255" s="381">
        <f t="shared" si="76"/>
        <v>0</v>
      </c>
      <c r="S255" s="590"/>
      <c r="T255" s="382">
        <f t="shared" si="84"/>
        <v>0</v>
      </c>
      <c r="U255" s="382"/>
      <c r="V255" s="382">
        <f t="shared" si="88"/>
        <v>0</v>
      </c>
    </row>
    <row r="256" spans="1:22" s="147" customFormat="1" ht="31.5" hidden="1" x14ac:dyDescent="0.25">
      <c r="A256" s="614" t="s">
        <v>843</v>
      </c>
      <c r="B256" s="614" t="s">
        <v>472</v>
      </c>
      <c r="C256" s="614" t="s">
        <v>224</v>
      </c>
      <c r="D256" s="617" t="s">
        <v>122</v>
      </c>
      <c r="E256" s="709">
        <f t="shared" si="85"/>
        <v>0</v>
      </c>
      <c r="F256" s="658"/>
      <c r="G256" s="658"/>
      <c r="H256" s="658"/>
      <c r="I256" s="658"/>
      <c r="J256" s="661">
        <f t="shared" si="86"/>
        <v>0</v>
      </c>
      <c r="K256" s="710"/>
      <c r="L256" s="711"/>
      <c r="M256" s="711"/>
      <c r="N256" s="658"/>
      <c r="O256" s="658"/>
      <c r="P256" s="658"/>
      <c r="Q256" s="661">
        <f t="shared" si="87"/>
        <v>0</v>
      </c>
      <c r="R256" s="381">
        <f t="shared" si="76"/>
        <v>0</v>
      </c>
      <c r="S256" s="590" t="s">
        <v>844</v>
      </c>
      <c r="T256" s="382">
        <f t="shared" si="84"/>
        <v>0</v>
      </c>
      <c r="U256" s="382"/>
      <c r="V256" s="382">
        <f t="shared" si="88"/>
        <v>-2029600</v>
      </c>
    </row>
    <row r="257" spans="1:22" s="569" customFormat="1" ht="31.5" x14ac:dyDescent="0.25">
      <c r="A257" s="44" t="s">
        <v>452</v>
      </c>
      <c r="B257" s="44" t="s">
        <v>296</v>
      </c>
      <c r="C257" s="44" t="s">
        <v>10</v>
      </c>
      <c r="D257" s="42" t="s">
        <v>75</v>
      </c>
      <c r="E257" s="205">
        <f t="shared" si="85"/>
        <v>0</v>
      </c>
      <c r="F257" s="205"/>
      <c r="G257" s="205"/>
      <c r="H257" s="54"/>
      <c r="I257" s="54"/>
      <c r="J257" s="54">
        <f t="shared" si="86"/>
        <v>2029600</v>
      </c>
      <c r="K257" s="54"/>
      <c r="L257" s="54"/>
      <c r="M257" s="54"/>
      <c r="N257" s="54">
        <v>2029600</v>
      </c>
      <c r="O257" s="54"/>
      <c r="P257" s="54"/>
      <c r="Q257" s="54">
        <f t="shared" si="87"/>
        <v>2029600</v>
      </c>
      <c r="R257" s="381">
        <f t="shared" si="76"/>
        <v>2029600</v>
      </c>
      <c r="S257" s="589">
        <f>R258-Q258</f>
        <v>0</v>
      </c>
      <c r="T257" s="382">
        <f t="shared" si="84"/>
        <v>0</v>
      </c>
      <c r="U257" s="382"/>
      <c r="V257" s="382">
        <f t="shared" si="88"/>
        <v>0</v>
      </c>
    </row>
    <row r="258" spans="1:22" s="301" customFormat="1" ht="15.75" hidden="1" x14ac:dyDescent="0.25">
      <c r="A258" s="654" t="s">
        <v>455</v>
      </c>
      <c r="B258" s="654" t="s">
        <v>456</v>
      </c>
      <c r="C258" s="654" t="s">
        <v>29</v>
      </c>
      <c r="D258" s="667" t="s">
        <v>76</v>
      </c>
      <c r="E258" s="712">
        <f t="shared" si="85"/>
        <v>0</v>
      </c>
      <c r="F258" s="712"/>
      <c r="G258" s="712"/>
      <c r="H258" s="712"/>
      <c r="I258" s="712"/>
      <c r="J258" s="713">
        <f t="shared" si="86"/>
        <v>0</v>
      </c>
      <c r="K258" s="714"/>
      <c r="L258" s="712"/>
      <c r="M258" s="712"/>
      <c r="N258" s="712">
        <f>3000000-3000000</f>
        <v>0</v>
      </c>
      <c r="O258" s="712"/>
      <c r="P258" s="712"/>
      <c r="Q258" s="656">
        <f t="shared" si="87"/>
        <v>0</v>
      </c>
      <c r="R258" s="381">
        <f t="shared" si="76"/>
        <v>0</v>
      </c>
      <c r="S258" s="590" t="s">
        <v>1007</v>
      </c>
      <c r="T258" s="382">
        <f t="shared" si="84"/>
        <v>0</v>
      </c>
      <c r="U258" s="382"/>
      <c r="V258" s="382">
        <f t="shared" si="88"/>
        <v>0</v>
      </c>
    </row>
    <row r="259" spans="1:22" s="31" customFormat="1" ht="31.5" hidden="1" x14ac:dyDescent="0.25">
      <c r="A259" s="40">
        <v>1618313</v>
      </c>
      <c r="B259" s="40">
        <v>8313</v>
      </c>
      <c r="C259" s="44" t="s">
        <v>281</v>
      </c>
      <c r="D259" s="42" t="s">
        <v>161</v>
      </c>
      <c r="E259" s="325">
        <f>+F259+I259</f>
        <v>0</v>
      </c>
      <c r="F259" s="325"/>
      <c r="G259" s="325"/>
      <c r="H259" s="325"/>
      <c r="I259" s="325"/>
      <c r="J259" s="204">
        <f t="shared" si="86"/>
        <v>0</v>
      </c>
      <c r="K259" s="53"/>
      <c r="L259" s="53"/>
      <c r="M259" s="53"/>
      <c r="N259" s="53"/>
      <c r="O259" s="53"/>
      <c r="P259" s="53"/>
      <c r="Q259" s="204">
        <f t="shared" si="87"/>
        <v>0</v>
      </c>
      <c r="R259" s="381">
        <f t="shared" si="76"/>
        <v>0</v>
      </c>
      <c r="S259" s="590">
        <f>R260-Q260</f>
        <v>0</v>
      </c>
      <c r="T259" s="382">
        <f t="shared" si="84"/>
        <v>0</v>
      </c>
      <c r="U259" s="382"/>
      <c r="V259" s="382">
        <f t="shared" si="88"/>
        <v>0</v>
      </c>
    </row>
    <row r="260" spans="1:22" ht="31.5" hidden="1" x14ac:dyDescent="0.25">
      <c r="A260" s="715">
        <v>1618330</v>
      </c>
      <c r="B260" s="715">
        <v>8330</v>
      </c>
      <c r="C260" s="614" t="s">
        <v>282</v>
      </c>
      <c r="D260" s="617" t="s">
        <v>457</v>
      </c>
      <c r="E260" s="663">
        <f>+F260+I260</f>
        <v>0</v>
      </c>
      <c r="F260" s="663"/>
      <c r="G260" s="663"/>
      <c r="H260" s="663"/>
      <c r="I260" s="663"/>
      <c r="J260" s="658">
        <f t="shared" si="86"/>
        <v>0</v>
      </c>
      <c r="K260" s="716"/>
      <c r="L260" s="717"/>
      <c r="M260" s="717"/>
      <c r="N260" s="717"/>
      <c r="O260" s="717"/>
      <c r="P260" s="717"/>
      <c r="Q260" s="658">
        <f t="shared" si="87"/>
        <v>0</v>
      </c>
      <c r="R260" s="381">
        <f t="shared" si="76"/>
        <v>0</v>
      </c>
      <c r="S260" s="589" t="s">
        <v>1007</v>
      </c>
      <c r="T260" s="382">
        <f>P262-O262</f>
        <v>0</v>
      </c>
      <c r="U260" s="382"/>
      <c r="V260" s="382">
        <f>O262-N262</f>
        <v>-5000000</v>
      </c>
    </row>
    <row r="261" spans="1:22" ht="94.5" x14ac:dyDescent="0.25">
      <c r="A261" s="387" t="s">
        <v>1930</v>
      </c>
      <c r="B261" s="387">
        <v>9514</v>
      </c>
      <c r="C261" s="387" t="s">
        <v>11</v>
      </c>
      <c r="D261" s="1079" t="s">
        <v>1931</v>
      </c>
      <c r="E261" s="491">
        <f>F261+I261</f>
        <v>3386260</v>
      </c>
      <c r="F261" s="491"/>
      <c r="G261" s="491"/>
      <c r="H261" s="492"/>
      <c r="I261" s="492">
        <v>3386260</v>
      </c>
      <c r="J261" s="54">
        <f>+K261+N261</f>
        <v>0</v>
      </c>
      <c r="K261" s="913"/>
      <c r="L261" s="913"/>
      <c r="M261" s="913"/>
      <c r="N261" s="913"/>
      <c r="O261" s="913"/>
      <c r="P261" s="913"/>
      <c r="Q261" s="492">
        <f t="shared" si="87"/>
        <v>3386260</v>
      </c>
      <c r="R261" s="381">
        <f t="shared" si="76"/>
        <v>3386260</v>
      </c>
      <c r="S261" s="589"/>
      <c r="T261" s="382"/>
      <c r="U261" s="382"/>
      <c r="V261" s="382"/>
    </row>
    <row r="262" spans="1:22" s="404" customFormat="1" ht="126" x14ac:dyDescent="0.25">
      <c r="A262" s="387" t="s">
        <v>887</v>
      </c>
      <c r="B262" s="387" t="s">
        <v>501</v>
      </c>
      <c r="C262" s="387" t="s">
        <v>11</v>
      </c>
      <c r="D262" s="392" t="s">
        <v>667</v>
      </c>
      <c r="E262" s="568">
        <f>F262+I262</f>
        <v>0</v>
      </c>
      <c r="F262" s="269"/>
      <c r="G262" s="385"/>
      <c r="H262" s="396"/>
      <c r="I262" s="396"/>
      <c r="J262" s="54">
        <f t="shared" si="86"/>
        <v>5000000</v>
      </c>
      <c r="K262" s="913"/>
      <c r="L262" s="913"/>
      <c r="M262" s="913"/>
      <c r="N262" s="913">
        <v>5000000</v>
      </c>
      <c r="O262" s="913"/>
      <c r="P262" s="913"/>
      <c r="Q262" s="492">
        <f t="shared" si="87"/>
        <v>5000000</v>
      </c>
      <c r="R262" s="381">
        <f t="shared" si="76"/>
        <v>5000000</v>
      </c>
      <c r="S262" s="403">
        <f>R263-Q263</f>
        <v>0</v>
      </c>
      <c r="T262" s="382">
        <f t="shared" si="84"/>
        <v>0</v>
      </c>
      <c r="U262" s="382"/>
      <c r="V262" s="382">
        <f t="shared" ref="V262:V313" si="89">O263-N263</f>
        <v>0</v>
      </c>
    </row>
    <row r="263" spans="1:22" s="404" customFormat="1" ht="63" x14ac:dyDescent="0.25">
      <c r="A263" s="402" t="s">
        <v>458</v>
      </c>
      <c r="B263" s="402"/>
      <c r="C263" s="402"/>
      <c r="D263" s="394" t="s">
        <v>44</v>
      </c>
      <c r="E263" s="916">
        <f>+E267+E266+E265+E268</f>
        <v>1300000</v>
      </c>
      <c r="F263" s="916">
        <f t="shared" ref="F263:Q263" si="90">+F267+F266+F265+F268</f>
        <v>1300000</v>
      </c>
      <c r="G263" s="916">
        <f t="shared" si="90"/>
        <v>0</v>
      </c>
      <c r="H263" s="1330">
        <f t="shared" si="90"/>
        <v>31000</v>
      </c>
      <c r="I263" s="1330">
        <f t="shared" si="90"/>
        <v>0</v>
      </c>
      <c r="J263" s="1330">
        <f t="shared" si="90"/>
        <v>0</v>
      </c>
      <c r="K263" s="1330">
        <f t="shared" si="90"/>
        <v>0</v>
      </c>
      <c r="L263" s="1330">
        <f t="shared" si="90"/>
        <v>0</v>
      </c>
      <c r="M263" s="1330">
        <f t="shared" si="90"/>
        <v>0</v>
      </c>
      <c r="N263" s="1330">
        <f t="shared" si="90"/>
        <v>0</v>
      </c>
      <c r="O263" s="1330">
        <f t="shared" si="90"/>
        <v>0</v>
      </c>
      <c r="P263" s="1330">
        <f t="shared" si="90"/>
        <v>0</v>
      </c>
      <c r="Q263" s="1330">
        <f t="shared" si="90"/>
        <v>1300000</v>
      </c>
      <c r="R263" s="381">
        <f t="shared" si="76"/>
        <v>1300000</v>
      </c>
      <c r="S263" s="403">
        <f>R264-Q264</f>
        <v>0</v>
      </c>
      <c r="T263" s="382">
        <f t="shared" si="84"/>
        <v>0</v>
      </c>
      <c r="U263" s="382"/>
      <c r="V263" s="382">
        <f t="shared" si="89"/>
        <v>0</v>
      </c>
    </row>
    <row r="264" spans="1:22" ht="63" x14ac:dyDescent="0.25">
      <c r="A264" s="402" t="s">
        <v>459</v>
      </c>
      <c r="B264" s="402"/>
      <c r="C264" s="402"/>
      <c r="D264" s="394" t="s">
        <v>44</v>
      </c>
      <c r="E264" s="916">
        <f>SUM(E265:E268)</f>
        <v>1300000</v>
      </c>
      <c r="F264" s="916">
        <f t="shared" ref="F264:Q264" si="91">SUM(F265:F268)</f>
        <v>1300000</v>
      </c>
      <c r="G264" s="916">
        <f t="shared" si="91"/>
        <v>0</v>
      </c>
      <c r="H264" s="1330">
        <f t="shared" si="91"/>
        <v>31000</v>
      </c>
      <c r="I264" s="1330">
        <f t="shared" si="91"/>
        <v>0</v>
      </c>
      <c r="J264" s="1330">
        <f t="shared" si="91"/>
        <v>0</v>
      </c>
      <c r="K264" s="1330">
        <f t="shared" si="91"/>
        <v>0</v>
      </c>
      <c r="L264" s="1330">
        <f t="shared" si="91"/>
        <v>0</v>
      </c>
      <c r="M264" s="1330">
        <f t="shared" si="91"/>
        <v>0</v>
      </c>
      <c r="N264" s="1330">
        <f t="shared" si="91"/>
        <v>0</v>
      </c>
      <c r="O264" s="1330">
        <f t="shared" si="91"/>
        <v>0</v>
      </c>
      <c r="P264" s="1330">
        <f t="shared" si="91"/>
        <v>0</v>
      </c>
      <c r="Q264" s="1330">
        <f t="shared" si="91"/>
        <v>1300000</v>
      </c>
      <c r="R264" s="381">
        <f t="shared" si="76"/>
        <v>1300000</v>
      </c>
      <c r="S264" s="403">
        <f>R265-Q265</f>
        <v>0</v>
      </c>
      <c r="T264" s="382">
        <f t="shared" si="84"/>
        <v>0</v>
      </c>
      <c r="U264" s="382"/>
      <c r="V264" s="382">
        <f t="shared" si="89"/>
        <v>0</v>
      </c>
    </row>
    <row r="265" spans="1:22" s="186" customFormat="1" ht="31.5" x14ac:dyDescent="0.25">
      <c r="A265" s="387" t="s">
        <v>600</v>
      </c>
      <c r="B265" s="387" t="s">
        <v>11</v>
      </c>
      <c r="C265" s="387" t="s">
        <v>14</v>
      </c>
      <c r="D265" s="388" t="s">
        <v>302</v>
      </c>
      <c r="E265" s="491">
        <f>F265+I265</f>
        <v>1300000</v>
      </c>
      <c r="F265" s="491">
        <v>1300000</v>
      </c>
      <c r="G265" s="491"/>
      <c r="H265" s="492">
        <v>31000</v>
      </c>
      <c r="I265" s="492"/>
      <c r="J265" s="492">
        <f>+K265+N265</f>
        <v>0</v>
      </c>
      <c r="K265" s="492"/>
      <c r="L265" s="492"/>
      <c r="M265" s="492"/>
      <c r="N265" s="492"/>
      <c r="O265" s="492"/>
      <c r="P265" s="492"/>
      <c r="Q265" s="492">
        <f>+J265+E265</f>
        <v>1300000</v>
      </c>
      <c r="R265" s="381">
        <f t="shared" si="76"/>
        <v>1300000</v>
      </c>
      <c r="S265" s="170">
        <f>R266-Q266</f>
        <v>0</v>
      </c>
      <c r="T265" s="382">
        <f t="shared" si="84"/>
        <v>0</v>
      </c>
      <c r="U265" s="296"/>
      <c r="V265" s="382">
        <f t="shared" si="89"/>
        <v>0</v>
      </c>
    </row>
    <row r="266" spans="1:22" s="186" customFormat="1" ht="63" hidden="1" x14ac:dyDescent="0.25">
      <c r="A266" s="692" t="s">
        <v>460</v>
      </c>
      <c r="B266" s="692" t="s">
        <v>461</v>
      </c>
      <c r="C266" s="692" t="s">
        <v>134</v>
      </c>
      <c r="D266" s="665" t="s">
        <v>630</v>
      </c>
      <c r="E266" s="666">
        <f>F266+I266</f>
        <v>0</v>
      </c>
      <c r="F266" s="706"/>
      <c r="G266" s="706"/>
      <c r="H266" s="706"/>
      <c r="I266" s="706"/>
      <c r="J266" s="666">
        <f>+K266+N266</f>
        <v>0</v>
      </c>
      <c r="K266" s="706"/>
      <c r="L266" s="706"/>
      <c r="M266" s="706"/>
      <c r="N266" s="706"/>
      <c r="O266" s="706"/>
      <c r="P266" s="706"/>
      <c r="Q266" s="666">
        <f>+J266+E266</f>
        <v>0</v>
      </c>
      <c r="R266" s="381">
        <f t="shared" si="76"/>
        <v>0</v>
      </c>
      <c r="S266" s="170">
        <f>R267-Q267</f>
        <v>0</v>
      </c>
      <c r="T266" s="382">
        <f t="shared" si="84"/>
        <v>0</v>
      </c>
      <c r="U266" s="296"/>
      <c r="V266" s="382">
        <f t="shared" si="89"/>
        <v>0</v>
      </c>
    </row>
    <row r="267" spans="1:22" s="186" customFormat="1" ht="31.5" hidden="1" x14ac:dyDescent="0.25">
      <c r="A267" s="181" t="s">
        <v>619</v>
      </c>
      <c r="B267" s="181" t="s">
        <v>620</v>
      </c>
      <c r="C267" s="181" t="s">
        <v>9</v>
      </c>
      <c r="D267" s="50" t="s">
        <v>290</v>
      </c>
      <c r="E267" s="385">
        <f>F267+I267</f>
        <v>0</v>
      </c>
      <c r="F267" s="250"/>
      <c r="G267" s="52"/>
      <c r="H267" s="52"/>
      <c r="I267" s="207"/>
      <c r="J267" s="385">
        <f>+K267+N267</f>
        <v>0</v>
      </c>
      <c r="K267" s="207"/>
      <c r="L267" s="207"/>
      <c r="M267" s="207"/>
      <c r="N267" s="207"/>
      <c r="O267" s="207"/>
      <c r="P267" s="207"/>
      <c r="Q267" s="385">
        <f>+J267+E267</f>
        <v>0</v>
      </c>
      <c r="R267" s="381">
        <f t="shared" si="76"/>
        <v>0</v>
      </c>
      <c r="S267" s="170"/>
      <c r="T267" s="382">
        <f t="shared" si="84"/>
        <v>0</v>
      </c>
      <c r="U267" s="296"/>
      <c r="V267" s="382">
        <f t="shared" si="89"/>
        <v>0</v>
      </c>
    </row>
    <row r="268" spans="1:22" s="178" customFormat="1" ht="31.5" hidden="1" x14ac:dyDescent="0.25">
      <c r="A268" s="181" t="s">
        <v>845</v>
      </c>
      <c r="B268" s="181" t="s">
        <v>472</v>
      </c>
      <c r="C268" s="181" t="s">
        <v>224</v>
      </c>
      <c r="D268" s="494" t="s">
        <v>122</v>
      </c>
      <c r="E268" s="385">
        <f>F268+I268</f>
        <v>0</v>
      </c>
      <c r="F268" s="250"/>
      <c r="G268" s="52"/>
      <c r="H268" s="52"/>
      <c r="I268" s="207"/>
      <c r="J268" s="385">
        <f>+K268+N268</f>
        <v>0</v>
      </c>
      <c r="K268" s="207"/>
      <c r="L268" s="207"/>
      <c r="M268" s="207"/>
      <c r="N268" s="207"/>
      <c r="O268" s="207"/>
      <c r="P268" s="207"/>
      <c r="Q268" s="385">
        <f>+J268+E268</f>
        <v>0</v>
      </c>
      <c r="R268" s="381">
        <f t="shared" si="76"/>
        <v>0</v>
      </c>
      <c r="S268" s="170">
        <f>R269-Q269</f>
        <v>0</v>
      </c>
      <c r="T268" s="382">
        <f t="shared" si="84"/>
        <v>0</v>
      </c>
      <c r="U268" s="296"/>
      <c r="V268" s="382">
        <f t="shared" si="89"/>
        <v>0</v>
      </c>
    </row>
    <row r="269" spans="1:22" s="176" customFormat="1" ht="47.25" hidden="1" x14ac:dyDescent="0.25">
      <c r="A269" s="173" t="s">
        <v>144</v>
      </c>
      <c r="B269" s="173"/>
      <c r="C269" s="173"/>
      <c r="D269" s="172" t="s">
        <v>43</v>
      </c>
      <c r="E269" s="198">
        <f>SUBTOTAL(9,E271:E272)</f>
        <v>0</v>
      </c>
      <c r="F269" s="198">
        <f t="shared" ref="F269:P269" si="92">SUBTOTAL(9,F271:F272)</f>
        <v>0</v>
      </c>
      <c r="G269" s="198">
        <f t="shared" si="92"/>
        <v>0</v>
      </c>
      <c r="H269" s="198">
        <f t="shared" si="92"/>
        <v>0</v>
      </c>
      <c r="I269" s="198">
        <f t="shared" si="92"/>
        <v>0</v>
      </c>
      <c r="J269" s="198">
        <f t="shared" si="92"/>
        <v>0</v>
      </c>
      <c r="K269" s="198">
        <f t="shared" si="92"/>
        <v>0</v>
      </c>
      <c r="L269" s="198">
        <f t="shared" si="92"/>
        <v>0</v>
      </c>
      <c r="M269" s="198">
        <f t="shared" si="92"/>
        <v>0</v>
      </c>
      <c r="N269" s="198">
        <f t="shared" si="92"/>
        <v>0</v>
      </c>
      <c r="O269" s="198">
        <f t="shared" si="92"/>
        <v>0</v>
      </c>
      <c r="P269" s="198">
        <f t="shared" si="92"/>
        <v>0</v>
      </c>
      <c r="Q269" s="198">
        <f>SUBTOTAL(9,Q271:Q272)</f>
        <v>0</v>
      </c>
      <c r="R269" s="381">
        <f t="shared" si="76"/>
        <v>0</v>
      </c>
      <c r="S269" s="170">
        <f>R270-Q270</f>
        <v>0</v>
      </c>
      <c r="T269" s="382">
        <f t="shared" si="84"/>
        <v>0</v>
      </c>
      <c r="U269" s="296"/>
      <c r="V269" s="382">
        <f t="shared" si="89"/>
        <v>0</v>
      </c>
    </row>
    <row r="270" spans="1:22" s="31" customFormat="1" ht="47.25" hidden="1" x14ac:dyDescent="0.25">
      <c r="A270" s="173" t="s">
        <v>145</v>
      </c>
      <c r="B270" s="175"/>
      <c r="C270" s="175"/>
      <c r="D270" s="172" t="s">
        <v>43</v>
      </c>
      <c r="E270" s="198">
        <f>E271+E272</f>
        <v>0</v>
      </c>
      <c r="F270" s="198">
        <f t="shared" ref="F270:P270" si="93">F271+F272</f>
        <v>0</v>
      </c>
      <c r="G270" s="198">
        <f t="shared" si="93"/>
        <v>0</v>
      </c>
      <c r="H270" s="198">
        <f t="shared" si="93"/>
        <v>0</v>
      </c>
      <c r="I270" s="198">
        <f t="shared" si="93"/>
        <v>0</v>
      </c>
      <c r="J270" s="198">
        <f t="shared" si="93"/>
        <v>0</v>
      </c>
      <c r="K270" s="198">
        <f t="shared" si="93"/>
        <v>0</v>
      </c>
      <c r="L270" s="198">
        <f t="shared" si="93"/>
        <v>0</v>
      </c>
      <c r="M270" s="198">
        <f t="shared" si="93"/>
        <v>0</v>
      </c>
      <c r="N270" s="198">
        <f t="shared" si="93"/>
        <v>0</v>
      </c>
      <c r="O270" s="198">
        <f t="shared" si="93"/>
        <v>0</v>
      </c>
      <c r="P270" s="198">
        <f t="shared" si="93"/>
        <v>0</v>
      </c>
      <c r="Q270" s="198">
        <f>Q271+Q272</f>
        <v>0</v>
      </c>
      <c r="R270" s="381">
        <f t="shared" si="76"/>
        <v>0</v>
      </c>
      <c r="S270" s="170">
        <f>R271-Q271</f>
        <v>0</v>
      </c>
      <c r="T270" s="382">
        <f t="shared" si="84"/>
        <v>0</v>
      </c>
      <c r="U270" s="296"/>
      <c r="V270" s="382">
        <f t="shared" si="89"/>
        <v>0</v>
      </c>
    </row>
    <row r="271" spans="1:22" s="75" customFormat="1" ht="31.5" hidden="1" x14ac:dyDescent="0.25">
      <c r="A271" s="44" t="s">
        <v>462</v>
      </c>
      <c r="B271" s="44" t="s">
        <v>463</v>
      </c>
      <c r="C271" s="44" t="s">
        <v>278</v>
      </c>
      <c r="D271" s="42" t="s">
        <v>464</v>
      </c>
      <c r="E271" s="204"/>
      <c r="F271" s="204"/>
      <c r="G271" s="204"/>
      <c r="H271" s="204"/>
      <c r="I271" s="217"/>
      <c r="J271" s="204">
        <f>+K271+N271</f>
        <v>0</v>
      </c>
      <c r="K271" s="216"/>
      <c r="L271" s="210"/>
      <c r="M271" s="210"/>
      <c r="N271" s="204"/>
      <c r="O271" s="210"/>
      <c r="P271" s="210"/>
      <c r="Q271" s="204">
        <f>+J271+E271</f>
        <v>0</v>
      </c>
      <c r="R271" s="381">
        <f t="shared" si="76"/>
        <v>0</v>
      </c>
      <c r="S271" s="170">
        <f t="shared" ref="S271:S312" si="94">R272-Q272</f>
        <v>0</v>
      </c>
      <c r="T271" s="382">
        <f t="shared" si="84"/>
        <v>0</v>
      </c>
      <c r="U271" s="296"/>
      <c r="V271" s="382">
        <f t="shared" si="89"/>
        <v>0</v>
      </c>
    </row>
    <row r="272" spans="1:22" s="404" customFormat="1" ht="31.5" hidden="1" x14ac:dyDescent="0.25">
      <c r="A272" s="166" t="s">
        <v>465</v>
      </c>
      <c r="B272" s="166" t="s">
        <v>466</v>
      </c>
      <c r="C272" s="166" t="s">
        <v>278</v>
      </c>
      <c r="D272" s="146" t="s">
        <v>467</v>
      </c>
      <c r="E272" s="627">
        <f>F272+I272</f>
        <v>0</v>
      </c>
      <c r="F272" s="627"/>
      <c r="G272" s="627"/>
      <c r="H272" s="627"/>
      <c r="I272" s="627"/>
      <c r="J272" s="627">
        <f>+K272+N272</f>
        <v>0</v>
      </c>
      <c r="K272" s="353"/>
      <c r="L272" s="303"/>
      <c r="M272" s="303"/>
      <c r="N272" s="627"/>
      <c r="O272" s="303"/>
      <c r="P272" s="303"/>
      <c r="Q272" s="627">
        <f>+J272+E272</f>
        <v>0</v>
      </c>
      <c r="R272" s="381">
        <f t="shared" si="76"/>
        <v>0</v>
      </c>
      <c r="S272" s="403">
        <f t="shared" si="94"/>
        <v>0</v>
      </c>
      <c r="T272" s="382">
        <f t="shared" si="84"/>
        <v>0</v>
      </c>
      <c r="U272" s="382"/>
      <c r="V272" s="382">
        <f t="shared" si="89"/>
        <v>0</v>
      </c>
    </row>
    <row r="273" spans="1:22" s="416" customFormat="1" ht="63" x14ac:dyDescent="0.25">
      <c r="A273" s="402" t="s">
        <v>468</v>
      </c>
      <c r="B273" s="402"/>
      <c r="C273" s="402"/>
      <c r="D273" s="394" t="s">
        <v>694</v>
      </c>
      <c r="E273" s="916">
        <f>E279+E280+E277+E278+E276+E275</f>
        <v>2282300</v>
      </c>
      <c r="F273" s="916">
        <f t="shared" ref="F273:Q273" si="95">F279+F280+F277+F278+F276+F275</f>
        <v>2282300</v>
      </c>
      <c r="G273" s="916">
        <f t="shared" si="95"/>
        <v>0</v>
      </c>
      <c r="H273" s="1330">
        <f t="shared" si="95"/>
        <v>0</v>
      </c>
      <c r="I273" s="1330">
        <f t="shared" si="95"/>
        <v>0</v>
      </c>
      <c r="J273" s="1330">
        <f t="shared" si="95"/>
        <v>0</v>
      </c>
      <c r="K273" s="1330">
        <f t="shared" si="95"/>
        <v>0</v>
      </c>
      <c r="L273" s="1330">
        <f t="shared" si="95"/>
        <v>0</v>
      </c>
      <c r="M273" s="1330">
        <f t="shared" si="95"/>
        <v>0</v>
      </c>
      <c r="N273" s="1330">
        <f t="shared" si="95"/>
        <v>0</v>
      </c>
      <c r="O273" s="1330">
        <f t="shared" si="95"/>
        <v>0</v>
      </c>
      <c r="P273" s="1330">
        <f t="shared" si="95"/>
        <v>0</v>
      </c>
      <c r="Q273" s="1330">
        <f t="shared" si="95"/>
        <v>2282300</v>
      </c>
      <c r="R273" s="381">
        <f t="shared" si="76"/>
        <v>2282300</v>
      </c>
      <c r="S273" s="403">
        <f t="shared" si="94"/>
        <v>0</v>
      </c>
      <c r="T273" s="382">
        <f t="shared" si="84"/>
        <v>0</v>
      </c>
      <c r="U273" s="382"/>
      <c r="V273" s="382">
        <f t="shared" si="89"/>
        <v>0</v>
      </c>
    </row>
    <row r="274" spans="1:22" s="369" customFormat="1" ht="63" x14ac:dyDescent="0.25">
      <c r="A274" s="402" t="s">
        <v>469</v>
      </c>
      <c r="B274" s="402"/>
      <c r="C274" s="402"/>
      <c r="D274" s="394" t="s">
        <v>694</v>
      </c>
      <c r="E274" s="916">
        <f>SUM(E275:E280)</f>
        <v>2282300</v>
      </c>
      <c r="F274" s="916">
        <f t="shared" ref="F274:Q274" si="96">SUM(F275:F280)</f>
        <v>2282300</v>
      </c>
      <c r="G274" s="916">
        <f t="shared" si="96"/>
        <v>0</v>
      </c>
      <c r="H274" s="1330">
        <f t="shared" si="96"/>
        <v>0</v>
      </c>
      <c r="I274" s="1330">
        <f t="shared" si="96"/>
        <v>0</v>
      </c>
      <c r="J274" s="1330">
        <f t="shared" si="96"/>
        <v>0</v>
      </c>
      <c r="K274" s="1330">
        <f t="shared" si="96"/>
        <v>0</v>
      </c>
      <c r="L274" s="1330">
        <f t="shared" si="96"/>
        <v>0</v>
      </c>
      <c r="M274" s="1330">
        <f t="shared" si="96"/>
        <v>0</v>
      </c>
      <c r="N274" s="1330">
        <f t="shared" si="96"/>
        <v>0</v>
      </c>
      <c r="O274" s="1330">
        <f t="shared" si="96"/>
        <v>0</v>
      </c>
      <c r="P274" s="1330">
        <f t="shared" si="96"/>
        <v>0</v>
      </c>
      <c r="Q274" s="1330">
        <f t="shared" si="96"/>
        <v>2282300</v>
      </c>
      <c r="R274" s="381">
        <f t="shared" ref="R274:R314" si="97">+E274+J274</f>
        <v>2282300</v>
      </c>
      <c r="S274" s="403">
        <f>R276-Q276</f>
        <v>0</v>
      </c>
      <c r="T274" s="382">
        <f>P276-O276</f>
        <v>0</v>
      </c>
      <c r="U274" s="382"/>
      <c r="V274" s="382">
        <f>O276-N276</f>
        <v>0</v>
      </c>
    </row>
    <row r="275" spans="1:22" s="416" customFormat="1" ht="31.5" hidden="1" x14ac:dyDescent="0.25">
      <c r="A275" s="387" t="s">
        <v>1431</v>
      </c>
      <c r="B275" s="387" t="s">
        <v>620</v>
      </c>
      <c r="C275" s="387" t="s">
        <v>9</v>
      </c>
      <c r="D275" s="811" t="s">
        <v>290</v>
      </c>
      <c r="E275" s="491">
        <f t="shared" ref="E275:E280" si="98">F275+I275</f>
        <v>0</v>
      </c>
      <c r="F275" s="491">
        <f>280000-280000</f>
        <v>0</v>
      </c>
      <c r="G275" s="491"/>
      <c r="H275" s="492"/>
      <c r="I275" s="492"/>
      <c r="J275" s="492">
        <f t="shared" ref="J275:J280" si="99">+K275+N275</f>
        <v>0</v>
      </c>
      <c r="K275" s="913"/>
      <c r="L275" s="913"/>
      <c r="M275" s="913"/>
      <c r="N275" s="492"/>
      <c r="O275" s="913"/>
      <c r="P275" s="913"/>
      <c r="Q275" s="492">
        <f t="shared" ref="Q275:Q280" si="100">+J275+E275</f>
        <v>0</v>
      </c>
      <c r="R275" s="381">
        <f t="shared" si="97"/>
        <v>0</v>
      </c>
      <c r="S275" s="403">
        <f>R276-Q276</f>
        <v>0</v>
      </c>
      <c r="T275" s="382">
        <f>P276-O276</f>
        <v>0</v>
      </c>
      <c r="U275" s="382"/>
      <c r="V275" s="382">
        <f>O276-N276</f>
        <v>0</v>
      </c>
    </row>
    <row r="276" spans="1:22" s="416" customFormat="1" ht="31.5" x14ac:dyDescent="0.25">
      <c r="A276" s="387" t="s">
        <v>697</v>
      </c>
      <c r="B276" s="387" t="s">
        <v>463</v>
      </c>
      <c r="C276" s="387" t="s">
        <v>278</v>
      </c>
      <c r="D276" s="392" t="s">
        <v>464</v>
      </c>
      <c r="E276" s="491">
        <f t="shared" si="98"/>
        <v>1185345</v>
      </c>
      <c r="F276" s="491">
        <f>790000+395345</f>
        <v>1185345</v>
      </c>
      <c r="G276" s="491"/>
      <c r="H276" s="492"/>
      <c r="I276" s="492"/>
      <c r="J276" s="492">
        <f t="shared" si="99"/>
        <v>0</v>
      </c>
      <c r="K276" s="913"/>
      <c r="L276" s="913"/>
      <c r="M276" s="913"/>
      <c r="N276" s="492"/>
      <c r="O276" s="913"/>
      <c r="P276" s="913"/>
      <c r="Q276" s="492">
        <f t="shared" si="100"/>
        <v>1185345</v>
      </c>
      <c r="R276" s="381">
        <f t="shared" si="97"/>
        <v>1185345</v>
      </c>
      <c r="S276" s="403">
        <f t="shared" si="94"/>
        <v>0</v>
      </c>
      <c r="T276" s="382">
        <f t="shared" si="84"/>
        <v>0</v>
      </c>
      <c r="U276" s="382"/>
      <c r="V276" s="382">
        <f t="shared" si="89"/>
        <v>0</v>
      </c>
    </row>
    <row r="277" spans="1:22" s="416" customFormat="1" ht="31.5" hidden="1" x14ac:dyDescent="0.25">
      <c r="A277" s="654" t="s">
        <v>601</v>
      </c>
      <c r="B277" s="654" t="s">
        <v>602</v>
      </c>
      <c r="C277" s="654" t="s">
        <v>411</v>
      </c>
      <c r="D277" s="667" t="s">
        <v>603</v>
      </c>
      <c r="E277" s="656">
        <f t="shared" si="98"/>
        <v>0</v>
      </c>
      <c r="F277" s="656"/>
      <c r="G277" s="656"/>
      <c r="H277" s="656"/>
      <c r="I277" s="656"/>
      <c r="J277" s="656">
        <f t="shared" si="99"/>
        <v>0</v>
      </c>
      <c r="K277" s="718"/>
      <c r="L277" s="719"/>
      <c r="M277" s="719"/>
      <c r="N277" s="656"/>
      <c r="O277" s="719"/>
      <c r="P277" s="719"/>
      <c r="Q277" s="656">
        <f t="shared" si="100"/>
        <v>0</v>
      </c>
      <c r="R277" s="381">
        <f t="shared" si="97"/>
        <v>0</v>
      </c>
      <c r="S277" s="403">
        <f t="shared" si="94"/>
        <v>0</v>
      </c>
      <c r="T277" s="382">
        <f t="shared" si="84"/>
        <v>0</v>
      </c>
      <c r="U277" s="382"/>
      <c r="V277" s="382">
        <f t="shared" si="89"/>
        <v>0</v>
      </c>
    </row>
    <row r="278" spans="1:22" s="417" customFormat="1" ht="31.5" x14ac:dyDescent="0.25">
      <c r="A278" s="387" t="s">
        <v>647</v>
      </c>
      <c r="B278" s="387" t="s">
        <v>595</v>
      </c>
      <c r="C278" s="387" t="s">
        <v>224</v>
      </c>
      <c r="D278" s="392" t="s">
        <v>596</v>
      </c>
      <c r="E278" s="491">
        <f t="shared" si="98"/>
        <v>736500</v>
      </c>
      <c r="F278" s="491">
        <f>634300+102200-205000+205000</f>
        <v>736500</v>
      </c>
      <c r="G278" s="491"/>
      <c r="H278" s="492"/>
      <c r="I278" s="492"/>
      <c r="J278" s="492">
        <f t="shared" si="99"/>
        <v>0</v>
      </c>
      <c r="K278" s="913"/>
      <c r="L278" s="913"/>
      <c r="M278" s="913"/>
      <c r="N278" s="492"/>
      <c r="O278" s="913"/>
      <c r="P278" s="913"/>
      <c r="Q278" s="492">
        <f t="shared" si="100"/>
        <v>736500</v>
      </c>
      <c r="R278" s="381">
        <f t="shared" si="97"/>
        <v>736500</v>
      </c>
      <c r="S278" s="403">
        <f t="shared" si="94"/>
        <v>0</v>
      </c>
      <c r="T278" s="382">
        <f t="shared" si="84"/>
        <v>0</v>
      </c>
      <c r="U278" s="382"/>
      <c r="V278" s="382">
        <f t="shared" si="89"/>
        <v>0</v>
      </c>
    </row>
    <row r="279" spans="1:22" s="417" customFormat="1" ht="31.5" x14ac:dyDescent="0.25">
      <c r="A279" s="387" t="s">
        <v>470</v>
      </c>
      <c r="B279" s="387" t="s">
        <v>121</v>
      </c>
      <c r="C279" s="387" t="s">
        <v>284</v>
      </c>
      <c r="D279" s="392" t="s">
        <v>189</v>
      </c>
      <c r="E279" s="491">
        <f t="shared" si="98"/>
        <v>294655</v>
      </c>
      <c r="F279" s="491">
        <f>910000-595000-20345</f>
        <v>294655</v>
      </c>
      <c r="G279" s="491"/>
      <c r="H279" s="492"/>
      <c r="I279" s="492"/>
      <c r="J279" s="492">
        <f t="shared" si="99"/>
        <v>0</v>
      </c>
      <c r="K279" s="913"/>
      <c r="L279" s="913"/>
      <c r="M279" s="913"/>
      <c r="N279" s="492"/>
      <c r="O279" s="913"/>
      <c r="P279" s="913"/>
      <c r="Q279" s="492">
        <f t="shared" si="100"/>
        <v>294655</v>
      </c>
      <c r="R279" s="381">
        <f t="shared" si="97"/>
        <v>294655</v>
      </c>
      <c r="S279" s="403">
        <f t="shared" si="94"/>
        <v>0</v>
      </c>
      <c r="T279" s="382">
        <f t="shared" si="84"/>
        <v>0</v>
      </c>
      <c r="U279" s="382"/>
      <c r="V279" s="382">
        <f t="shared" si="89"/>
        <v>0</v>
      </c>
    </row>
    <row r="280" spans="1:22" s="418" customFormat="1" ht="31.5" x14ac:dyDescent="0.25">
      <c r="A280" s="387" t="s">
        <v>471</v>
      </c>
      <c r="B280" s="387" t="s">
        <v>472</v>
      </c>
      <c r="C280" s="387" t="s">
        <v>224</v>
      </c>
      <c r="D280" s="392" t="s">
        <v>122</v>
      </c>
      <c r="E280" s="491">
        <f t="shared" si="98"/>
        <v>65800</v>
      </c>
      <c r="F280" s="491">
        <f>265800+800000-1000000</f>
        <v>65800</v>
      </c>
      <c r="G280" s="491"/>
      <c r="H280" s="492"/>
      <c r="I280" s="492"/>
      <c r="J280" s="492">
        <f t="shared" si="99"/>
        <v>0</v>
      </c>
      <c r="K280" s="913"/>
      <c r="L280" s="913"/>
      <c r="M280" s="913"/>
      <c r="N280" s="492"/>
      <c r="O280" s="492"/>
      <c r="P280" s="492"/>
      <c r="Q280" s="492">
        <f t="shared" si="100"/>
        <v>65800</v>
      </c>
      <c r="R280" s="381">
        <f t="shared" si="97"/>
        <v>65800</v>
      </c>
      <c r="S280" s="403">
        <f t="shared" si="94"/>
        <v>0</v>
      </c>
      <c r="T280" s="382">
        <f t="shared" si="84"/>
        <v>0</v>
      </c>
      <c r="U280" s="382"/>
      <c r="V280" s="382">
        <f t="shared" si="89"/>
        <v>-8333560</v>
      </c>
    </row>
    <row r="281" spans="1:22" s="420" customFormat="1" ht="47.25" x14ac:dyDescent="0.25">
      <c r="A281" s="402" t="s">
        <v>473</v>
      </c>
      <c r="B281" s="402"/>
      <c r="C281" s="402"/>
      <c r="D281" s="394" t="s">
        <v>252</v>
      </c>
      <c r="E281" s="916">
        <f>E284+E285+E286+E288+E289+E287+E283+E290</f>
        <v>0</v>
      </c>
      <c r="F281" s="916">
        <f t="shared" ref="F281:Q281" si="101">F284+F285+F286+F288+F289+F287+F283+F290</f>
        <v>0</v>
      </c>
      <c r="G281" s="916">
        <f t="shared" si="101"/>
        <v>0</v>
      </c>
      <c r="H281" s="1330">
        <f t="shared" si="101"/>
        <v>0</v>
      </c>
      <c r="I281" s="1330">
        <f t="shared" si="101"/>
        <v>0</v>
      </c>
      <c r="J281" s="1330">
        <f t="shared" si="101"/>
        <v>13697472</v>
      </c>
      <c r="K281" s="1330">
        <f t="shared" si="101"/>
        <v>5196000</v>
      </c>
      <c r="L281" s="1330">
        <f t="shared" si="101"/>
        <v>0</v>
      </c>
      <c r="M281" s="1330">
        <f t="shared" si="101"/>
        <v>0</v>
      </c>
      <c r="N281" s="1330">
        <f t="shared" si="101"/>
        <v>8501472</v>
      </c>
      <c r="O281" s="1330">
        <f t="shared" si="101"/>
        <v>167912</v>
      </c>
      <c r="P281" s="1330">
        <f t="shared" si="101"/>
        <v>167912</v>
      </c>
      <c r="Q281" s="1330">
        <f t="shared" si="101"/>
        <v>13697472</v>
      </c>
      <c r="R281" s="381">
        <f t="shared" si="97"/>
        <v>13697472</v>
      </c>
      <c r="S281" s="403">
        <f t="shared" si="94"/>
        <v>0</v>
      </c>
      <c r="T281" s="382">
        <f t="shared" si="84"/>
        <v>0</v>
      </c>
      <c r="U281" s="382"/>
      <c r="V281" s="382">
        <f t="shared" si="89"/>
        <v>-8333560</v>
      </c>
    </row>
    <row r="282" spans="1:22" s="257" customFormat="1" ht="47.25" x14ac:dyDescent="0.25">
      <c r="A282" s="402" t="s">
        <v>474</v>
      </c>
      <c r="B282" s="419"/>
      <c r="C282" s="419"/>
      <c r="D282" s="394" t="s">
        <v>252</v>
      </c>
      <c r="E282" s="916">
        <f>SUM(E283:E290)</f>
        <v>0</v>
      </c>
      <c r="F282" s="916">
        <f t="shared" ref="F282:Q282" si="102">SUM(F283:F290)</f>
        <v>0</v>
      </c>
      <c r="G282" s="916">
        <f t="shared" si="102"/>
        <v>0</v>
      </c>
      <c r="H282" s="1330">
        <f t="shared" si="102"/>
        <v>0</v>
      </c>
      <c r="I282" s="1330">
        <f t="shared" si="102"/>
        <v>0</v>
      </c>
      <c r="J282" s="1330">
        <f t="shared" si="102"/>
        <v>13697472</v>
      </c>
      <c r="K282" s="1330">
        <f t="shared" si="102"/>
        <v>5196000</v>
      </c>
      <c r="L282" s="1330">
        <f t="shared" si="102"/>
        <v>0</v>
      </c>
      <c r="M282" s="1330">
        <f t="shared" si="102"/>
        <v>0</v>
      </c>
      <c r="N282" s="1330">
        <f t="shared" si="102"/>
        <v>8501472</v>
      </c>
      <c r="O282" s="1330">
        <f t="shared" si="102"/>
        <v>167912</v>
      </c>
      <c r="P282" s="1330">
        <f t="shared" si="102"/>
        <v>167912</v>
      </c>
      <c r="Q282" s="1330">
        <f t="shared" si="102"/>
        <v>13697472</v>
      </c>
      <c r="R282" s="381">
        <f t="shared" si="97"/>
        <v>13697472</v>
      </c>
      <c r="S282" s="170"/>
      <c r="T282" s="382">
        <f t="shared" si="84"/>
        <v>0</v>
      </c>
      <c r="U282" s="296"/>
      <c r="V282" s="382"/>
    </row>
    <row r="283" spans="1:22" s="257" customFormat="1" ht="31.5" x14ac:dyDescent="0.25">
      <c r="A283" s="44" t="s">
        <v>946</v>
      </c>
      <c r="B283" s="44" t="s">
        <v>947</v>
      </c>
      <c r="C283" s="44" t="s">
        <v>224</v>
      </c>
      <c r="D283" s="725" t="s">
        <v>948</v>
      </c>
      <c r="E283" s="205">
        <f t="shared" ref="E283:E290" si="103">F283+I283</f>
        <v>0</v>
      </c>
      <c r="F283" s="205"/>
      <c r="G283" s="205"/>
      <c r="H283" s="54"/>
      <c r="I283" s="54"/>
      <c r="J283" s="54">
        <f t="shared" ref="J283:J290" si="104">+K283+N283</f>
        <v>2300000</v>
      </c>
      <c r="K283" s="490">
        <v>2300000</v>
      </c>
      <c r="L283" s="490"/>
      <c r="M283" s="490"/>
      <c r="N283" s="54"/>
      <c r="O283" s="490"/>
      <c r="P283" s="490"/>
      <c r="Q283" s="54">
        <f t="shared" ref="Q283:Q289" si="105">+J283+E283</f>
        <v>2300000</v>
      </c>
      <c r="R283" s="381">
        <f t="shared" si="97"/>
        <v>2300000</v>
      </c>
      <c r="S283" s="170">
        <f t="shared" si="94"/>
        <v>0</v>
      </c>
      <c r="T283" s="382">
        <f t="shared" si="84"/>
        <v>0</v>
      </c>
      <c r="U283" s="296"/>
      <c r="V283" s="382">
        <f t="shared" si="89"/>
        <v>0</v>
      </c>
    </row>
    <row r="284" spans="1:22" s="257" customFormat="1" ht="31.5" hidden="1" x14ac:dyDescent="0.25">
      <c r="A284" s="614" t="s">
        <v>475</v>
      </c>
      <c r="B284" s="614" t="s">
        <v>296</v>
      </c>
      <c r="C284" s="614" t="s">
        <v>10</v>
      </c>
      <c r="D284" s="720" t="s">
        <v>75</v>
      </c>
      <c r="E284" s="658">
        <f t="shared" si="103"/>
        <v>0</v>
      </c>
      <c r="F284" s="658"/>
      <c r="G284" s="658"/>
      <c r="H284" s="658"/>
      <c r="I284" s="658"/>
      <c r="J284" s="658">
        <f t="shared" si="104"/>
        <v>0</v>
      </c>
      <c r="K284" s="673"/>
      <c r="L284" s="674"/>
      <c r="M284" s="674"/>
      <c r="N284" s="658">
        <f>3000000-3000000</f>
        <v>0</v>
      </c>
      <c r="O284" s="674"/>
      <c r="P284" s="674"/>
      <c r="Q284" s="658">
        <f t="shared" si="105"/>
        <v>0</v>
      </c>
      <c r="R284" s="381">
        <f t="shared" si="97"/>
        <v>0</v>
      </c>
      <c r="S284" s="170">
        <f t="shared" si="94"/>
        <v>0</v>
      </c>
      <c r="T284" s="382">
        <f t="shared" si="84"/>
        <v>0</v>
      </c>
      <c r="U284" s="296"/>
      <c r="V284" s="382">
        <f t="shared" si="89"/>
        <v>0</v>
      </c>
    </row>
    <row r="285" spans="1:22" s="257" customFormat="1" ht="15.75" hidden="1" x14ac:dyDescent="0.25">
      <c r="A285" s="44" t="s">
        <v>476</v>
      </c>
      <c r="B285" s="44" t="s">
        <v>456</v>
      </c>
      <c r="C285" s="44" t="s">
        <v>29</v>
      </c>
      <c r="D285" s="725" t="s">
        <v>76</v>
      </c>
      <c r="E285" s="204">
        <f t="shared" si="103"/>
        <v>0</v>
      </c>
      <c r="F285" s="204"/>
      <c r="G285" s="204"/>
      <c r="H285" s="204"/>
      <c r="I285" s="204"/>
      <c r="J285" s="204">
        <f t="shared" si="104"/>
        <v>0</v>
      </c>
      <c r="K285" s="210"/>
      <c r="L285" s="210"/>
      <c r="M285" s="210"/>
      <c r="N285" s="204"/>
      <c r="O285" s="210"/>
      <c r="P285" s="210"/>
      <c r="Q285" s="204">
        <f t="shared" si="105"/>
        <v>0</v>
      </c>
      <c r="R285" s="381">
        <f t="shared" si="97"/>
        <v>0</v>
      </c>
      <c r="S285" s="170">
        <f t="shared" si="94"/>
        <v>0</v>
      </c>
      <c r="T285" s="382">
        <f t="shared" si="84"/>
        <v>0</v>
      </c>
      <c r="U285" s="296"/>
      <c r="V285" s="382">
        <f t="shared" si="89"/>
        <v>0</v>
      </c>
    </row>
    <row r="286" spans="1:22" s="257" customFormat="1" ht="31.5" hidden="1" x14ac:dyDescent="0.25">
      <c r="A286" s="44" t="s">
        <v>477</v>
      </c>
      <c r="B286" s="44" t="s">
        <v>478</v>
      </c>
      <c r="C286" s="44" t="s">
        <v>281</v>
      </c>
      <c r="D286" s="725" t="s">
        <v>161</v>
      </c>
      <c r="E286" s="204">
        <f t="shared" si="103"/>
        <v>0</v>
      </c>
      <c r="F286" s="204"/>
      <c r="G286" s="204"/>
      <c r="H286" s="204"/>
      <c r="I286" s="204"/>
      <c r="J286" s="204">
        <f t="shared" si="104"/>
        <v>0</v>
      </c>
      <c r="K286" s="210"/>
      <c r="L286" s="210"/>
      <c r="M286" s="210"/>
      <c r="N286" s="204"/>
      <c r="O286" s="210"/>
      <c r="P286" s="210"/>
      <c r="Q286" s="204">
        <f t="shared" si="105"/>
        <v>0</v>
      </c>
      <c r="R286" s="381">
        <f t="shared" si="97"/>
        <v>0</v>
      </c>
      <c r="S286" s="170"/>
      <c r="T286" s="382">
        <f t="shared" si="84"/>
        <v>0</v>
      </c>
      <c r="U286" s="296"/>
      <c r="V286" s="382"/>
    </row>
    <row r="287" spans="1:22" s="257" customFormat="1" ht="15.75" x14ac:dyDescent="0.25">
      <c r="A287" s="44" t="s">
        <v>942</v>
      </c>
      <c r="B287" s="44" t="s">
        <v>943</v>
      </c>
      <c r="C287" s="44" t="s">
        <v>945</v>
      </c>
      <c r="D287" s="725" t="s">
        <v>944</v>
      </c>
      <c r="E287" s="205">
        <f t="shared" si="103"/>
        <v>0</v>
      </c>
      <c r="F287" s="205"/>
      <c r="G287" s="205"/>
      <c r="H287" s="54"/>
      <c r="I287" s="54"/>
      <c r="J287" s="54">
        <f t="shared" si="104"/>
        <v>550000</v>
      </c>
      <c r="K287" s="490">
        <f>100000+450000</f>
        <v>550000</v>
      </c>
      <c r="L287" s="490"/>
      <c r="M287" s="490"/>
      <c r="N287" s="54"/>
      <c r="O287" s="490"/>
      <c r="P287" s="490"/>
      <c r="Q287" s="54">
        <f t="shared" si="105"/>
        <v>550000</v>
      </c>
      <c r="R287" s="381">
        <f t="shared" si="97"/>
        <v>550000</v>
      </c>
      <c r="S287" s="170">
        <f t="shared" si="94"/>
        <v>0</v>
      </c>
      <c r="T287" s="382">
        <f t="shared" si="84"/>
        <v>0</v>
      </c>
      <c r="U287" s="296"/>
      <c r="V287" s="382">
        <f t="shared" si="89"/>
        <v>-200000</v>
      </c>
    </row>
    <row r="288" spans="1:22" s="257" customFormat="1" ht="31.5" x14ac:dyDescent="0.25">
      <c r="A288" s="44" t="s">
        <v>612</v>
      </c>
      <c r="B288" s="44" t="s">
        <v>613</v>
      </c>
      <c r="C288" s="44" t="s">
        <v>282</v>
      </c>
      <c r="D288" s="725" t="s">
        <v>457</v>
      </c>
      <c r="E288" s="205">
        <f t="shared" si="103"/>
        <v>0</v>
      </c>
      <c r="F288" s="205"/>
      <c r="G288" s="205"/>
      <c r="H288" s="54"/>
      <c r="I288" s="54"/>
      <c r="J288" s="54">
        <f t="shared" si="104"/>
        <v>600000</v>
      </c>
      <c r="K288" s="490">
        <f>300000+100000</f>
        <v>400000</v>
      </c>
      <c r="L288" s="490"/>
      <c r="M288" s="490"/>
      <c r="N288" s="54">
        <v>200000</v>
      </c>
      <c r="O288" s="490"/>
      <c r="P288" s="490"/>
      <c r="Q288" s="54">
        <f t="shared" si="105"/>
        <v>600000</v>
      </c>
      <c r="R288" s="381">
        <f t="shared" si="97"/>
        <v>600000</v>
      </c>
      <c r="S288" s="170">
        <f t="shared" si="94"/>
        <v>0</v>
      </c>
      <c r="T288" s="382">
        <f t="shared" si="84"/>
        <v>0</v>
      </c>
      <c r="U288" s="296"/>
      <c r="V288" s="382">
        <f t="shared" si="89"/>
        <v>-8133560</v>
      </c>
    </row>
    <row r="289" spans="1:22" s="257" customFormat="1" ht="31.5" x14ac:dyDescent="0.25">
      <c r="A289" s="44" t="s">
        <v>706</v>
      </c>
      <c r="B289" s="44" t="s">
        <v>707</v>
      </c>
      <c r="C289" s="44" t="s">
        <v>11</v>
      </c>
      <c r="D289" s="725" t="s">
        <v>692</v>
      </c>
      <c r="E289" s="205">
        <f t="shared" si="103"/>
        <v>0</v>
      </c>
      <c r="F289" s="205"/>
      <c r="G289" s="205"/>
      <c r="H289" s="54"/>
      <c r="I289" s="54"/>
      <c r="J289" s="54">
        <f t="shared" si="104"/>
        <v>10079560</v>
      </c>
      <c r="K289" s="490">
        <v>1946000</v>
      </c>
      <c r="L289" s="490"/>
      <c r="M289" s="490"/>
      <c r="N289" s="54">
        <f>3170400+4963160</f>
        <v>8133560</v>
      </c>
      <c r="O289" s="490"/>
      <c r="P289" s="490"/>
      <c r="Q289" s="54">
        <f t="shared" si="105"/>
        <v>10079560</v>
      </c>
      <c r="R289" s="381">
        <f t="shared" si="97"/>
        <v>10079560</v>
      </c>
      <c r="S289" s="170"/>
      <c r="T289" s="382">
        <f t="shared" si="84"/>
        <v>0</v>
      </c>
      <c r="U289" s="296"/>
      <c r="V289" s="382">
        <f t="shared" si="89"/>
        <v>0</v>
      </c>
    </row>
    <row r="290" spans="1:22" s="411" customFormat="1" ht="63" x14ac:dyDescent="0.25">
      <c r="A290" s="44" t="s">
        <v>1005</v>
      </c>
      <c r="B290" s="44" t="s">
        <v>299</v>
      </c>
      <c r="C290" s="165" t="s">
        <v>11</v>
      </c>
      <c r="D290" s="34" t="s">
        <v>300</v>
      </c>
      <c r="E290" s="204">
        <f t="shared" si="103"/>
        <v>0</v>
      </c>
      <c r="F290" s="204"/>
      <c r="G290" s="204"/>
      <c r="H290" s="204"/>
      <c r="I290" s="204"/>
      <c r="J290" s="204">
        <f t="shared" si="104"/>
        <v>167912</v>
      </c>
      <c r="K290" s="210"/>
      <c r="L290" s="210"/>
      <c r="M290" s="210"/>
      <c r="N290" s="204">
        <v>167912</v>
      </c>
      <c r="O290" s="210">
        <v>167912</v>
      </c>
      <c r="P290" s="210">
        <v>167912</v>
      </c>
      <c r="Q290" s="204">
        <f>+J290+E290</f>
        <v>167912</v>
      </c>
      <c r="R290" s="381">
        <f t="shared" si="97"/>
        <v>167912</v>
      </c>
      <c r="S290" s="403">
        <f t="shared" si="94"/>
        <v>0</v>
      </c>
      <c r="T290" s="382">
        <f t="shared" si="84"/>
        <v>0</v>
      </c>
      <c r="U290" s="382"/>
      <c r="V290" s="382">
        <f t="shared" si="89"/>
        <v>0</v>
      </c>
    </row>
    <row r="291" spans="1:22" s="407" customFormat="1" ht="63" x14ac:dyDescent="0.25">
      <c r="A291" s="402" t="s">
        <v>225</v>
      </c>
      <c r="B291" s="402"/>
      <c r="C291" s="402"/>
      <c r="D291" s="394" t="s">
        <v>854</v>
      </c>
      <c r="E291" s="916">
        <f>E293+E294+E295</f>
        <v>3086956</v>
      </c>
      <c r="F291" s="916">
        <f t="shared" ref="F291:Q291" si="106">F293+F294+F295</f>
        <v>3086956</v>
      </c>
      <c r="G291" s="916">
        <f t="shared" si="106"/>
        <v>1154800</v>
      </c>
      <c r="H291" s="1330">
        <f t="shared" si="106"/>
        <v>252500</v>
      </c>
      <c r="I291" s="1330">
        <f t="shared" si="106"/>
        <v>0</v>
      </c>
      <c r="J291" s="1330">
        <f t="shared" si="106"/>
        <v>60000</v>
      </c>
      <c r="K291" s="1330">
        <f t="shared" si="106"/>
        <v>0</v>
      </c>
      <c r="L291" s="1330">
        <f t="shared" si="106"/>
        <v>0</v>
      </c>
      <c r="M291" s="1330">
        <f t="shared" si="106"/>
        <v>0</v>
      </c>
      <c r="N291" s="1330">
        <f t="shared" si="106"/>
        <v>60000</v>
      </c>
      <c r="O291" s="1330">
        <f t="shared" si="106"/>
        <v>60000</v>
      </c>
      <c r="P291" s="1330">
        <f t="shared" si="106"/>
        <v>60000</v>
      </c>
      <c r="Q291" s="1330">
        <f t="shared" si="106"/>
        <v>3146956</v>
      </c>
      <c r="R291" s="381">
        <f t="shared" si="97"/>
        <v>3146956</v>
      </c>
      <c r="S291" s="403">
        <f t="shared" si="94"/>
        <v>0</v>
      </c>
      <c r="T291" s="382">
        <f t="shared" si="84"/>
        <v>0</v>
      </c>
      <c r="U291" s="382"/>
      <c r="V291" s="382">
        <f t="shared" si="89"/>
        <v>0</v>
      </c>
    </row>
    <row r="292" spans="1:22" ht="63" x14ac:dyDescent="0.25">
      <c r="A292" s="402" t="s">
        <v>226</v>
      </c>
      <c r="B292" s="402"/>
      <c r="C292" s="402"/>
      <c r="D292" s="394" t="s">
        <v>854</v>
      </c>
      <c r="E292" s="916">
        <f>SUM(E293:E295)</f>
        <v>3086956</v>
      </c>
      <c r="F292" s="916">
        <f t="shared" ref="F292:Q292" si="107">SUM(F293:F295)</f>
        <v>3086956</v>
      </c>
      <c r="G292" s="916">
        <f t="shared" si="107"/>
        <v>1154800</v>
      </c>
      <c r="H292" s="1330">
        <f t="shared" si="107"/>
        <v>252500</v>
      </c>
      <c r="I292" s="1330">
        <f t="shared" si="107"/>
        <v>0</v>
      </c>
      <c r="J292" s="1330">
        <f t="shared" si="107"/>
        <v>60000</v>
      </c>
      <c r="K292" s="1330">
        <f t="shared" si="107"/>
        <v>0</v>
      </c>
      <c r="L292" s="1330">
        <f t="shared" si="107"/>
        <v>0</v>
      </c>
      <c r="M292" s="1330">
        <f t="shared" si="107"/>
        <v>0</v>
      </c>
      <c r="N292" s="1330">
        <f t="shared" si="107"/>
        <v>60000</v>
      </c>
      <c r="O292" s="1330">
        <f t="shared" si="107"/>
        <v>60000</v>
      </c>
      <c r="P292" s="1330">
        <f t="shared" si="107"/>
        <v>60000</v>
      </c>
      <c r="Q292" s="1330">
        <f t="shared" si="107"/>
        <v>3146956</v>
      </c>
      <c r="R292" s="381">
        <f t="shared" si="97"/>
        <v>3146956</v>
      </c>
      <c r="S292" s="403">
        <f t="shared" si="94"/>
        <v>0</v>
      </c>
      <c r="T292" s="382">
        <f t="shared" si="84"/>
        <v>0</v>
      </c>
      <c r="U292" s="382"/>
      <c r="V292" s="382">
        <f t="shared" si="89"/>
        <v>0</v>
      </c>
    </row>
    <row r="293" spans="1:22" ht="47.25" x14ac:dyDescent="0.25">
      <c r="A293" s="387" t="s">
        <v>479</v>
      </c>
      <c r="B293" s="387" t="s">
        <v>480</v>
      </c>
      <c r="C293" s="387" t="s">
        <v>276</v>
      </c>
      <c r="D293" s="392" t="s">
        <v>631</v>
      </c>
      <c r="E293" s="491">
        <f>F293+I293</f>
        <v>261000</v>
      </c>
      <c r="F293" s="491">
        <v>261000</v>
      </c>
      <c r="G293" s="491"/>
      <c r="H293" s="492">
        <v>169400</v>
      </c>
      <c r="I293" s="492"/>
      <c r="J293" s="204">
        <f>+K293+N293</f>
        <v>0</v>
      </c>
      <c r="K293" s="913"/>
      <c r="L293" s="913"/>
      <c r="M293" s="913"/>
      <c r="N293" s="913"/>
      <c r="O293" s="913"/>
      <c r="P293" s="913"/>
      <c r="Q293" s="492">
        <f>+J293+E293</f>
        <v>261000</v>
      </c>
      <c r="R293" s="381">
        <f t="shared" si="97"/>
        <v>261000</v>
      </c>
      <c r="S293" s="403">
        <f t="shared" si="94"/>
        <v>0</v>
      </c>
      <c r="T293" s="382">
        <f t="shared" si="84"/>
        <v>0</v>
      </c>
      <c r="U293" s="382"/>
      <c r="V293" s="382">
        <f t="shared" si="89"/>
        <v>0</v>
      </c>
    </row>
    <row r="294" spans="1:22" ht="15.75" x14ac:dyDescent="0.25">
      <c r="A294" s="387" t="s">
        <v>604</v>
      </c>
      <c r="B294" s="387" t="s">
        <v>454</v>
      </c>
      <c r="C294" s="387" t="s">
        <v>276</v>
      </c>
      <c r="D294" s="392" t="s">
        <v>243</v>
      </c>
      <c r="E294" s="491">
        <f>F294+I294</f>
        <v>1767000</v>
      </c>
      <c r="F294" s="491">
        <v>1767000</v>
      </c>
      <c r="G294" s="491">
        <v>1154800</v>
      </c>
      <c r="H294" s="492">
        <v>83100</v>
      </c>
      <c r="I294" s="492"/>
      <c r="J294" s="204">
        <f>+K294+N294</f>
        <v>0</v>
      </c>
      <c r="K294" s="913"/>
      <c r="L294" s="913"/>
      <c r="M294" s="913"/>
      <c r="N294" s="913"/>
      <c r="O294" s="913"/>
      <c r="P294" s="913"/>
      <c r="Q294" s="492">
        <f>+J294+E294</f>
        <v>1767000</v>
      </c>
      <c r="R294" s="381">
        <f t="shared" si="97"/>
        <v>1767000</v>
      </c>
      <c r="S294" s="403"/>
      <c r="T294" s="382">
        <f t="shared" si="84"/>
        <v>0</v>
      </c>
      <c r="U294" s="382"/>
      <c r="V294" s="382"/>
    </row>
    <row r="295" spans="1:22" s="404" customFormat="1" ht="63" x14ac:dyDescent="0.25">
      <c r="A295" s="387" t="s">
        <v>978</v>
      </c>
      <c r="B295" s="387" t="s">
        <v>299</v>
      </c>
      <c r="C295" s="165" t="s">
        <v>11</v>
      </c>
      <c r="D295" s="34" t="s">
        <v>300</v>
      </c>
      <c r="E295" s="491">
        <f>F295+I295</f>
        <v>1058956</v>
      </c>
      <c r="F295" s="491">
        <f>750000+308956</f>
        <v>1058956</v>
      </c>
      <c r="G295" s="491"/>
      <c r="H295" s="492"/>
      <c r="I295" s="492"/>
      <c r="J295" s="204">
        <f>+K295+N295</f>
        <v>60000</v>
      </c>
      <c r="K295" s="913"/>
      <c r="L295" s="913"/>
      <c r="M295" s="913"/>
      <c r="N295" s="913">
        <v>60000</v>
      </c>
      <c r="O295" s="913">
        <v>60000</v>
      </c>
      <c r="P295" s="913">
        <v>60000</v>
      </c>
      <c r="Q295" s="492">
        <f>+J295+E295</f>
        <v>1118956</v>
      </c>
      <c r="R295" s="381">
        <f t="shared" si="97"/>
        <v>1118956</v>
      </c>
      <c r="S295" s="403">
        <f t="shared" si="94"/>
        <v>0</v>
      </c>
      <c r="T295" s="382">
        <f t="shared" si="84"/>
        <v>0</v>
      </c>
      <c r="U295" s="382"/>
      <c r="V295" s="382">
        <f t="shared" si="89"/>
        <v>0</v>
      </c>
    </row>
    <row r="296" spans="1:22" s="404" customFormat="1" ht="31.5" x14ac:dyDescent="0.25">
      <c r="A296" s="402" t="s">
        <v>485</v>
      </c>
      <c r="B296" s="402"/>
      <c r="C296" s="402"/>
      <c r="D296" s="394" t="s">
        <v>97</v>
      </c>
      <c r="E296" s="916">
        <f t="shared" ref="E296:Q296" si="108">E300+E304+E302+E303+E313+E306+E312+E310+E309+E299+E308+E307+E305+E301+E311+E298</f>
        <v>151530560</v>
      </c>
      <c r="F296" s="916">
        <f t="shared" si="108"/>
        <v>140245941</v>
      </c>
      <c r="G296" s="916">
        <f t="shared" si="108"/>
        <v>0</v>
      </c>
      <c r="H296" s="1330">
        <f t="shared" si="108"/>
        <v>0</v>
      </c>
      <c r="I296" s="1330">
        <f t="shared" si="108"/>
        <v>0</v>
      </c>
      <c r="J296" s="1330">
        <f t="shared" si="108"/>
        <v>60961441</v>
      </c>
      <c r="K296" s="1330">
        <f t="shared" si="108"/>
        <v>0</v>
      </c>
      <c r="L296" s="1330">
        <f t="shared" si="108"/>
        <v>0</v>
      </c>
      <c r="M296" s="1330">
        <f t="shared" si="108"/>
        <v>0</v>
      </c>
      <c r="N296" s="1330">
        <f t="shared" si="108"/>
        <v>60961441</v>
      </c>
      <c r="O296" s="1330">
        <f t="shared" si="108"/>
        <v>60961441</v>
      </c>
      <c r="P296" s="1330">
        <f t="shared" si="108"/>
        <v>60961441</v>
      </c>
      <c r="Q296" s="1330">
        <f t="shared" si="108"/>
        <v>212492001</v>
      </c>
      <c r="R296" s="381">
        <f t="shared" si="97"/>
        <v>212492001</v>
      </c>
      <c r="S296" s="403">
        <f>R297-Q297</f>
        <v>0</v>
      </c>
      <c r="T296" s="382">
        <f t="shared" si="84"/>
        <v>0</v>
      </c>
      <c r="U296" s="382"/>
      <c r="V296" s="382">
        <f t="shared" si="89"/>
        <v>0</v>
      </c>
    </row>
    <row r="297" spans="1:22" s="417" customFormat="1" ht="31.5" x14ac:dyDescent="0.25">
      <c r="A297" s="402" t="s">
        <v>484</v>
      </c>
      <c r="B297" s="402"/>
      <c r="C297" s="402"/>
      <c r="D297" s="394" t="s">
        <v>97</v>
      </c>
      <c r="E297" s="916">
        <f>SUM(E298:E313)</f>
        <v>151530560</v>
      </c>
      <c r="F297" s="916">
        <f t="shared" ref="F297:Q297" si="109">SUM(F298:F313)</f>
        <v>140245941</v>
      </c>
      <c r="G297" s="916">
        <f t="shared" si="109"/>
        <v>0</v>
      </c>
      <c r="H297" s="1330">
        <f t="shared" si="109"/>
        <v>0</v>
      </c>
      <c r="I297" s="1330">
        <f t="shared" si="109"/>
        <v>0</v>
      </c>
      <c r="J297" s="1330">
        <f t="shared" si="109"/>
        <v>60961441</v>
      </c>
      <c r="K297" s="1330">
        <f t="shared" si="109"/>
        <v>0</v>
      </c>
      <c r="L297" s="1330">
        <f t="shared" si="109"/>
        <v>0</v>
      </c>
      <c r="M297" s="1330">
        <f t="shared" si="109"/>
        <v>0</v>
      </c>
      <c r="N297" s="1330">
        <f t="shared" si="109"/>
        <v>60961441</v>
      </c>
      <c r="O297" s="1330">
        <f t="shared" si="109"/>
        <v>60961441</v>
      </c>
      <c r="P297" s="1330">
        <f t="shared" si="109"/>
        <v>60961441</v>
      </c>
      <c r="Q297" s="1330">
        <f t="shared" si="109"/>
        <v>212492001</v>
      </c>
      <c r="R297" s="381">
        <f t="shared" si="97"/>
        <v>212492001</v>
      </c>
      <c r="S297" s="403"/>
      <c r="T297" s="382">
        <f t="shared" si="84"/>
        <v>0</v>
      </c>
      <c r="U297" s="382"/>
      <c r="V297" s="382">
        <f t="shared" si="89"/>
        <v>0</v>
      </c>
    </row>
    <row r="298" spans="1:22" s="417" customFormat="1" ht="31.5" hidden="1" x14ac:dyDescent="0.25">
      <c r="A298" s="387" t="s">
        <v>723</v>
      </c>
      <c r="B298" s="387" t="s">
        <v>724</v>
      </c>
      <c r="C298" s="387" t="s">
        <v>11</v>
      </c>
      <c r="D298" s="392" t="s">
        <v>725</v>
      </c>
      <c r="E298" s="385">
        <f>F298+I298</f>
        <v>0</v>
      </c>
      <c r="F298" s="385"/>
      <c r="G298" s="385"/>
      <c r="H298" s="385"/>
      <c r="I298" s="385">
        <f>60000000-40000000-20000000</f>
        <v>0</v>
      </c>
      <c r="J298" s="385">
        <f t="shared" ref="J298:J304" si="110">+K298+N298</f>
        <v>0</v>
      </c>
      <c r="K298" s="401"/>
      <c r="L298" s="401"/>
      <c r="M298" s="401"/>
      <c r="N298" s="412"/>
      <c r="O298" s="468"/>
      <c r="P298" s="401"/>
      <c r="Q298" s="385">
        <f t="shared" ref="Q298:Q311" si="111">+J298+E298</f>
        <v>0</v>
      </c>
      <c r="R298" s="381">
        <f t="shared" si="97"/>
        <v>0</v>
      </c>
      <c r="S298" s="403">
        <f t="shared" si="94"/>
        <v>0</v>
      </c>
      <c r="T298" s="382">
        <f t="shared" si="84"/>
        <v>0</v>
      </c>
      <c r="U298" s="382"/>
      <c r="V298" s="382">
        <f t="shared" si="89"/>
        <v>0</v>
      </c>
    </row>
    <row r="299" spans="1:22" s="149" customFormat="1" ht="15.75" x14ac:dyDescent="0.25">
      <c r="A299" s="387" t="s">
        <v>1157</v>
      </c>
      <c r="B299" s="387" t="s">
        <v>1172</v>
      </c>
      <c r="C299" s="387" t="s">
        <v>14</v>
      </c>
      <c r="D299" s="392" t="s">
        <v>1158</v>
      </c>
      <c r="E299" s="492">
        <f>5000000+6380300+3500+819-100000</f>
        <v>11284619</v>
      </c>
      <c r="F299" s="491"/>
      <c r="G299" s="491"/>
      <c r="H299" s="492"/>
      <c r="I299" s="492"/>
      <c r="J299" s="492">
        <f t="shared" si="110"/>
        <v>0</v>
      </c>
      <c r="K299" s="913"/>
      <c r="L299" s="913"/>
      <c r="M299" s="913"/>
      <c r="N299" s="492"/>
      <c r="O299" s="913"/>
      <c r="P299" s="913"/>
      <c r="Q299" s="492">
        <f t="shared" si="111"/>
        <v>11284619</v>
      </c>
      <c r="R299" s="381">
        <f t="shared" si="97"/>
        <v>11284619</v>
      </c>
      <c r="S299" s="170">
        <f t="shared" si="94"/>
        <v>0</v>
      </c>
      <c r="T299" s="382">
        <f t="shared" si="84"/>
        <v>0</v>
      </c>
      <c r="U299" s="296"/>
      <c r="V299" s="382">
        <f t="shared" si="89"/>
        <v>0</v>
      </c>
    </row>
    <row r="300" spans="1:22" s="417" customFormat="1" ht="47.25" hidden="1" x14ac:dyDescent="0.25">
      <c r="A300" s="614" t="s">
        <v>488</v>
      </c>
      <c r="B300" s="614" t="s">
        <v>30</v>
      </c>
      <c r="C300" s="614" t="s">
        <v>11</v>
      </c>
      <c r="D300" s="662" t="s">
        <v>489</v>
      </c>
      <c r="E300" s="663">
        <f>F300+I300</f>
        <v>0</v>
      </c>
      <c r="F300" s="663"/>
      <c r="G300" s="663"/>
      <c r="H300" s="663"/>
      <c r="I300" s="663"/>
      <c r="J300" s="663">
        <f t="shared" si="110"/>
        <v>0</v>
      </c>
      <c r="K300" s="716"/>
      <c r="L300" s="717"/>
      <c r="M300" s="717"/>
      <c r="N300" s="663"/>
      <c r="O300" s="717"/>
      <c r="P300" s="717"/>
      <c r="Q300" s="663">
        <f t="shared" si="111"/>
        <v>0</v>
      </c>
      <c r="R300" s="381">
        <f t="shared" si="97"/>
        <v>0</v>
      </c>
      <c r="S300" s="403">
        <f t="shared" si="94"/>
        <v>0</v>
      </c>
      <c r="T300" s="382">
        <f t="shared" si="84"/>
        <v>0</v>
      </c>
      <c r="U300" s="382"/>
      <c r="V300" s="382">
        <f t="shared" si="89"/>
        <v>0</v>
      </c>
    </row>
    <row r="301" spans="1:22" s="417" customFormat="1" ht="78.75" x14ac:dyDescent="0.25">
      <c r="A301" s="387" t="s">
        <v>569</v>
      </c>
      <c r="B301" s="387" t="s">
        <v>280</v>
      </c>
      <c r="C301" s="387" t="s">
        <v>11</v>
      </c>
      <c r="D301" s="388" t="s">
        <v>568</v>
      </c>
      <c r="E301" s="491">
        <f>F301+I301</f>
        <v>112489600</v>
      </c>
      <c r="F301" s="54">
        <v>112489600</v>
      </c>
      <c r="G301" s="492"/>
      <c r="H301" s="492"/>
      <c r="I301" s="492"/>
      <c r="J301" s="492">
        <f t="shared" si="110"/>
        <v>0</v>
      </c>
      <c r="K301" s="913"/>
      <c r="L301" s="913"/>
      <c r="M301" s="913"/>
      <c r="N301" s="492"/>
      <c r="O301" s="913"/>
      <c r="P301" s="913"/>
      <c r="Q301" s="492">
        <f t="shared" si="111"/>
        <v>112489600</v>
      </c>
      <c r="R301" s="381">
        <f t="shared" si="97"/>
        <v>112489600</v>
      </c>
      <c r="S301" s="403">
        <f t="shared" si="94"/>
        <v>0</v>
      </c>
      <c r="T301" s="382">
        <f t="shared" si="84"/>
        <v>0</v>
      </c>
      <c r="U301" s="382"/>
      <c r="V301" s="382">
        <f t="shared" si="89"/>
        <v>0</v>
      </c>
    </row>
    <row r="302" spans="1:22" s="417" customFormat="1" ht="299.25" hidden="1" x14ac:dyDescent="0.25">
      <c r="A302" s="664" t="s">
        <v>496</v>
      </c>
      <c r="B302" s="664" t="s">
        <v>497</v>
      </c>
      <c r="C302" s="664" t="s">
        <v>11</v>
      </c>
      <c r="D302" s="721" t="s">
        <v>795</v>
      </c>
      <c r="E302" s="666">
        <f>F302+I302</f>
        <v>0</v>
      </c>
      <c r="F302" s="666"/>
      <c r="G302" s="666"/>
      <c r="H302" s="666"/>
      <c r="I302" s="666"/>
      <c r="J302" s="666">
        <f t="shared" si="110"/>
        <v>0</v>
      </c>
      <c r="K302" s="722"/>
      <c r="L302" s="666"/>
      <c r="M302" s="666"/>
      <c r="N302" s="666"/>
      <c r="O302" s="666"/>
      <c r="P302" s="666"/>
      <c r="Q302" s="666">
        <f t="shared" si="111"/>
        <v>0</v>
      </c>
      <c r="R302" s="381">
        <f t="shared" si="97"/>
        <v>0</v>
      </c>
      <c r="S302" s="403">
        <f t="shared" si="94"/>
        <v>0</v>
      </c>
      <c r="T302" s="382">
        <f t="shared" si="84"/>
        <v>0</v>
      </c>
      <c r="U302" s="382"/>
      <c r="V302" s="382">
        <f t="shared" si="89"/>
        <v>0</v>
      </c>
    </row>
    <row r="303" spans="1:22" s="410" customFormat="1" ht="94.5" hidden="1" x14ac:dyDescent="0.25">
      <c r="A303" s="387" t="s">
        <v>493</v>
      </c>
      <c r="B303" s="387" t="s">
        <v>494</v>
      </c>
      <c r="C303" s="387" t="s">
        <v>11</v>
      </c>
      <c r="D303" s="388" t="s">
        <v>495</v>
      </c>
      <c r="E303" s="385">
        <f>F303+I303</f>
        <v>0</v>
      </c>
      <c r="F303" s="385"/>
      <c r="G303" s="385"/>
      <c r="H303" s="385"/>
      <c r="I303" s="385"/>
      <c r="J303" s="385">
        <f t="shared" si="110"/>
        <v>0</v>
      </c>
      <c r="K303" s="422"/>
      <c r="L303" s="385"/>
      <c r="M303" s="385"/>
      <c r="N303" s="385"/>
      <c r="O303" s="385"/>
      <c r="P303" s="385"/>
      <c r="Q303" s="385">
        <f t="shared" si="111"/>
        <v>0</v>
      </c>
      <c r="R303" s="381">
        <f t="shared" si="97"/>
        <v>0</v>
      </c>
      <c r="S303" s="403">
        <f t="shared" si="94"/>
        <v>0</v>
      </c>
      <c r="T303" s="382">
        <f t="shared" si="84"/>
        <v>0</v>
      </c>
      <c r="U303" s="382"/>
      <c r="V303" s="382">
        <f t="shared" si="89"/>
        <v>0</v>
      </c>
    </row>
    <row r="304" spans="1:22" s="254" customFormat="1" ht="283.5" hidden="1" x14ac:dyDescent="0.25">
      <c r="A304" s="387" t="s">
        <v>490</v>
      </c>
      <c r="B304" s="387" t="s">
        <v>491</v>
      </c>
      <c r="C304" s="387" t="s">
        <v>11</v>
      </c>
      <c r="D304" s="423" t="s">
        <v>616</v>
      </c>
      <c r="E304" s="385">
        <f>F304+I304</f>
        <v>0</v>
      </c>
      <c r="F304" s="385"/>
      <c r="G304" s="385"/>
      <c r="H304" s="385"/>
      <c r="I304" s="385"/>
      <c r="J304" s="385">
        <f t="shared" si="110"/>
        <v>0</v>
      </c>
      <c r="K304" s="400"/>
      <c r="L304" s="401"/>
      <c r="M304" s="401"/>
      <c r="N304" s="385"/>
      <c r="O304" s="401"/>
      <c r="P304" s="401"/>
      <c r="Q304" s="385">
        <f t="shared" si="111"/>
        <v>0</v>
      </c>
      <c r="R304" s="381">
        <f t="shared" si="97"/>
        <v>0</v>
      </c>
      <c r="S304" s="170">
        <f t="shared" si="94"/>
        <v>0</v>
      </c>
      <c r="T304" s="382">
        <f t="shared" si="84"/>
        <v>0</v>
      </c>
      <c r="U304" s="296"/>
      <c r="V304" s="382">
        <f t="shared" si="89"/>
        <v>0</v>
      </c>
    </row>
    <row r="305" spans="1:22" s="417" customFormat="1" ht="409.5" hidden="1" x14ac:dyDescent="0.25">
      <c r="A305" s="247" t="s">
        <v>510</v>
      </c>
      <c r="B305" s="247" t="s">
        <v>509</v>
      </c>
      <c r="C305" s="247" t="s">
        <v>11</v>
      </c>
      <c r="D305" s="251" t="s">
        <v>796</v>
      </c>
      <c r="E305" s="52">
        <f t="shared" ref="E305:E313" si="112">F305+I305</f>
        <v>0</v>
      </c>
      <c r="F305" s="252"/>
      <c r="G305" s="252"/>
      <c r="H305" s="252"/>
      <c r="I305" s="252"/>
      <c r="J305" s="52">
        <f t="shared" ref="J305:J313" si="113">+K305+N305</f>
        <v>0</v>
      </c>
      <c r="K305" s="253"/>
      <c r="L305" s="252"/>
      <c r="M305" s="252"/>
      <c r="N305" s="252"/>
      <c r="O305" s="252"/>
      <c r="P305" s="252"/>
      <c r="Q305" s="52">
        <f>+J305+E305</f>
        <v>0</v>
      </c>
      <c r="R305" s="381">
        <f t="shared" si="97"/>
        <v>0</v>
      </c>
      <c r="S305" s="403">
        <f t="shared" si="94"/>
        <v>0</v>
      </c>
      <c r="T305" s="382">
        <f t="shared" si="84"/>
        <v>0</v>
      </c>
      <c r="U305" s="382"/>
      <c r="V305" s="382">
        <f t="shared" si="89"/>
        <v>0</v>
      </c>
    </row>
    <row r="306" spans="1:22" s="29" customFormat="1" ht="236.25" hidden="1" x14ac:dyDescent="0.25">
      <c r="A306" s="424" t="s">
        <v>505</v>
      </c>
      <c r="B306" s="424" t="s">
        <v>503</v>
      </c>
      <c r="C306" s="424" t="s">
        <v>11</v>
      </c>
      <c r="D306" s="425" t="s">
        <v>735</v>
      </c>
      <c r="E306" s="491">
        <f t="shared" si="112"/>
        <v>0</v>
      </c>
      <c r="F306" s="491"/>
      <c r="G306" s="491"/>
      <c r="H306" s="491"/>
      <c r="I306" s="491"/>
      <c r="J306" s="491">
        <f t="shared" si="113"/>
        <v>0</v>
      </c>
      <c r="K306" s="491"/>
      <c r="L306" s="491"/>
      <c r="M306" s="491"/>
      <c r="N306" s="491"/>
      <c r="O306" s="491"/>
      <c r="P306" s="491"/>
      <c r="Q306" s="491">
        <f>+J306+E306</f>
        <v>0</v>
      </c>
      <c r="R306" s="381">
        <f t="shared" si="97"/>
        <v>0</v>
      </c>
      <c r="S306" s="170">
        <f t="shared" si="94"/>
        <v>0</v>
      </c>
      <c r="T306" s="382">
        <f t="shared" si="84"/>
        <v>0</v>
      </c>
      <c r="U306" s="296"/>
      <c r="V306" s="382">
        <f t="shared" si="89"/>
        <v>0</v>
      </c>
    </row>
    <row r="307" spans="1:22" s="29" customFormat="1" ht="47.25" hidden="1" x14ac:dyDescent="0.25">
      <c r="A307" s="165" t="s">
        <v>512</v>
      </c>
      <c r="B307" s="165" t="s">
        <v>322</v>
      </c>
      <c r="C307" s="165" t="s">
        <v>11</v>
      </c>
      <c r="D307" s="36" t="s">
        <v>323</v>
      </c>
      <c r="E307" s="51">
        <f t="shared" si="112"/>
        <v>0</v>
      </c>
      <c r="F307" s="51"/>
      <c r="G307" s="51"/>
      <c r="H307" s="51"/>
      <c r="I307" s="51"/>
      <c r="J307" s="51">
        <f t="shared" si="113"/>
        <v>0</v>
      </c>
      <c r="K307" s="78"/>
      <c r="L307" s="51"/>
      <c r="M307" s="51"/>
      <c r="N307" s="51"/>
      <c r="O307" s="51"/>
      <c r="P307" s="51"/>
      <c r="Q307" s="51">
        <f>+J307+E307</f>
        <v>0</v>
      </c>
      <c r="R307" s="381">
        <f t="shared" si="97"/>
        <v>0</v>
      </c>
      <c r="S307" s="170">
        <f t="shared" si="94"/>
        <v>0</v>
      </c>
      <c r="T307" s="382">
        <f t="shared" si="84"/>
        <v>0</v>
      </c>
      <c r="U307" s="296"/>
      <c r="V307" s="382">
        <f t="shared" si="89"/>
        <v>0</v>
      </c>
    </row>
    <row r="308" spans="1:22" s="29" customFormat="1" ht="78.75" hidden="1" x14ac:dyDescent="0.25">
      <c r="A308" s="166" t="s">
        <v>500</v>
      </c>
      <c r="B308" s="166" t="s">
        <v>501</v>
      </c>
      <c r="C308" s="166" t="s">
        <v>11</v>
      </c>
      <c r="D308" s="162" t="s">
        <v>502</v>
      </c>
      <c r="E308" s="144">
        <f t="shared" si="112"/>
        <v>0</v>
      </c>
      <c r="F308" s="144"/>
      <c r="G308" s="144"/>
      <c r="H308" s="144"/>
      <c r="I308" s="144"/>
      <c r="J308" s="144">
        <f t="shared" si="113"/>
        <v>0</v>
      </c>
      <c r="K308" s="145"/>
      <c r="L308" s="144"/>
      <c r="M308" s="144"/>
      <c r="N308" s="144"/>
      <c r="O308" s="144"/>
      <c r="P308" s="144"/>
      <c r="Q308" s="144">
        <f t="shared" si="111"/>
        <v>0</v>
      </c>
      <c r="R308" s="381">
        <f t="shared" si="97"/>
        <v>0</v>
      </c>
      <c r="S308" s="170">
        <f t="shared" si="94"/>
        <v>0</v>
      </c>
      <c r="T308" s="382">
        <f t="shared" si="84"/>
        <v>0</v>
      </c>
      <c r="U308" s="296"/>
      <c r="V308" s="382">
        <f t="shared" si="89"/>
        <v>0</v>
      </c>
    </row>
    <row r="309" spans="1:22" s="149" customFormat="1" ht="299.25" hidden="1" x14ac:dyDescent="0.25">
      <c r="A309" s="255">
        <v>3719610</v>
      </c>
      <c r="B309" s="255">
        <v>9610</v>
      </c>
      <c r="C309" s="166" t="s">
        <v>11</v>
      </c>
      <c r="D309" s="162" t="s">
        <v>727</v>
      </c>
      <c r="E309" s="144">
        <f t="shared" si="112"/>
        <v>0</v>
      </c>
      <c r="F309" s="144"/>
      <c r="G309" s="144"/>
      <c r="H309" s="144"/>
      <c r="I309" s="144"/>
      <c r="J309" s="144">
        <f t="shared" si="113"/>
        <v>0</v>
      </c>
      <c r="K309" s="145"/>
      <c r="L309" s="144"/>
      <c r="M309" s="144"/>
      <c r="N309" s="144"/>
      <c r="O309" s="144"/>
      <c r="P309" s="144"/>
      <c r="Q309" s="144">
        <f>+J309+E309</f>
        <v>0</v>
      </c>
      <c r="R309" s="381">
        <f t="shared" si="97"/>
        <v>0</v>
      </c>
      <c r="S309" s="170">
        <f t="shared" si="94"/>
        <v>0</v>
      </c>
      <c r="T309" s="382">
        <f t="shared" si="84"/>
        <v>0</v>
      </c>
      <c r="U309" s="296"/>
      <c r="V309" s="382">
        <f t="shared" si="89"/>
        <v>0</v>
      </c>
    </row>
    <row r="310" spans="1:22" s="149" customFormat="1" ht="78.75" hidden="1" x14ac:dyDescent="0.25">
      <c r="A310" s="165" t="s">
        <v>507</v>
      </c>
      <c r="B310" s="165" t="s">
        <v>506</v>
      </c>
      <c r="C310" s="165" t="s">
        <v>11</v>
      </c>
      <c r="D310" s="36" t="s">
        <v>508</v>
      </c>
      <c r="E310" s="51">
        <f t="shared" si="112"/>
        <v>0</v>
      </c>
      <c r="F310" s="51"/>
      <c r="G310" s="51"/>
      <c r="H310" s="51"/>
      <c r="I310" s="51"/>
      <c r="J310" s="51">
        <f t="shared" si="113"/>
        <v>0</v>
      </c>
      <c r="K310" s="51"/>
      <c r="L310" s="51"/>
      <c r="M310" s="51"/>
      <c r="N310" s="51"/>
      <c r="O310" s="51"/>
      <c r="P310" s="51"/>
      <c r="Q310" s="51">
        <f t="shared" si="111"/>
        <v>0</v>
      </c>
      <c r="R310" s="381">
        <f t="shared" si="97"/>
        <v>0</v>
      </c>
      <c r="S310" s="170">
        <f t="shared" si="94"/>
        <v>0</v>
      </c>
      <c r="T310" s="382">
        <f t="shared" si="84"/>
        <v>0</v>
      </c>
      <c r="U310" s="296"/>
      <c r="V310" s="382">
        <f t="shared" si="89"/>
        <v>0</v>
      </c>
    </row>
    <row r="311" spans="1:22" s="417" customFormat="1" ht="31.5" hidden="1" x14ac:dyDescent="0.25">
      <c r="A311" s="723" t="s">
        <v>609</v>
      </c>
      <c r="B311" s="723" t="s">
        <v>610</v>
      </c>
      <c r="C311" s="723" t="s">
        <v>11</v>
      </c>
      <c r="D311" s="724" t="s">
        <v>611</v>
      </c>
      <c r="E311" s="663">
        <f t="shared" si="112"/>
        <v>0</v>
      </c>
      <c r="F311" s="663"/>
      <c r="G311" s="663"/>
      <c r="H311" s="663"/>
      <c r="I311" s="663"/>
      <c r="J311" s="663">
        <f t="shared" si="113"/>
        <v>0</v>
      </c>
      <c r="K311" s="663"/>
      <c r="L311" s="663"/>
      <c r="M311" s="663"/>
      <c r="N311" s="663"/>
      <c r="O311" s="663"/>
      <c r="P311" s="663"/>
      <c r="Q311" s="663">
        <f t="shared" si="111"/>
        <v>0</v>
      </c>
      <c r="R311" s="381">
        <f t="shared" si="97"/>
        <v>0</v>
      </c>
      <c r="S311" s="403">
        <f t="shared" si="94"/>
        <v>0</v>
      </c>
      <c r="T311" s="382">
        <f>P312-O312</f>
        <v>0</v>
      </c>
      <c r="U311" s="382"/>
      <c r="V311" s="382">
        <f t="shared" si="89"/>
        <v>0</v>
      </c>
    </row>
    <row r="312" spans="1:22" s="29" customFormat="1" ht="15.75" x14ac:dyDescent="0.25">
      <c r="A312" s="387" t="s">
        <v>513</v>
      </c>
      <c r="B312" s="387" t="s">
        <v>304</v>
      </c>
      <c r="C312" s="387" t="s">
        <v>11</v>
      </c>
      <c r="D312" s="408" t="s">
        <v>364</v>
      </c>
      <c r="E312" s="491">
        <f>F312+I312</f>
        <v>16485641</v>
      </c>
      <c r="F312" s="491">
        <f>5703960+1000000+1672000-200000-41811-500000-500000+11661311-463800-1021470+345916+-2924731+35700-279900+279900+1937661+120905-340000</f>
        <v>16485641</v>
      </c>
      <c r="G312" s="491"/>
      <c r="H312" s="492"/>
      <c r="I312" s="492"/>
      <c r="J312" s="492">
        <f t="shared" si="113"/>
        <v>55573941</v>
      </c>
      <c r="K312" s="492"/>
      <c r="L312" s="492"/>
      <c r="M312" s="492"/>
      <c r="N312" s="492">
        <f>23484040+8000000+2000000+1000000+41811+9399590+463800+785470-95916+2041931+35000+3519734+4558481+340000</f>
        <v>55573941</v>
      </c>
      <c r="O312" s="492">
        <f>23484040+8000000+2000000+1000000+41811+9399590+463800+785470-95916+2041931+35000+3519734+4558481+340000</f>
        <v>55573941</v>
      </c>
      <c r="P312" s="492">
        <f>23484040+8000000+2000000+1000000+41811+9399590+463800+785470-95916+2041931+35000+3519734+4558481+340000</f>
        <v>55573941</v>
      </c>
      <c r="Q312" s="492">
        <f>+J312+E312</f>
        <v>72059582</v>
      </c>
      <c r="R312" s="381">
        <f t="shared" si="97"/>
        <v>72059582</v>
      </c>
      <c r="S312" s="170">
        <f t="shared" si="94"/>
        <v>0</v>
      </c>
      <c r="T312" s="382">
        <f>P313-O313</f>
        <v>0</v>
      </c>
      <c r="U312" s="296"/>
      <c r="V312" s="382">
        <f t="shared" si="89"/>
        <v>0</v>
      </c>
    </row>
    <row r="313" spans="1:22" s="404" customFormat="1" ht="63" x14ac:dyDescent="0.25">
      <c r="A313" s="165" t="s">
        <v>499</v>
      </c>
      <c r="B313" s="165" t="s">
        <v>299</v>
      </c>
      <c r="C313" s="165" t="s">
        <v>11</v>
      </c>
      <c r="D313" s="34" t="s">
        <v>300</v>
      </c>
      <c r="E313" s="54">
        <f t="shared" si="112"/>
        <v>11270700</v>
      </c>
      <c r="F313" s="54">
        <f>5455200+1950000+50000+3815500</f>
        <v>11270700</v>
      </c>
      <c r="G313" s="54"/>
      <c r="H313" s="54"/>
      <c r="I313" s="54"/>
      <c r="J313" s="54">
        <f t="shared" si="113"/>
        <v>5387500</v>
      </c>
      <c r="K313" s="54"/>
      <c r="L313" s="54"/>
      <c r="M313" s="54"/>
      <c r="N313" s="54">
        <f>31000+4000000+1050000+650000-500000+500000-343500</f>
        <v>5387500</v>
      </c>
      <c r="O313" s="54">
        <f>5731000-500000+500000-343500</f>
        <v>5387500</v>
      </c>
      <c r="P313" s="54">
        <f>5731000-500000+500000-343500</f>
        <v>5387500</v>
      </c>
      <c r="Q313" s="54">
        <f>+J313+E313</f>
        <v>16658200</v>
      </c>
      <c r="R313" s="381">
        <f t="shared" si="97"/>
        <v>16658200</v>
      </c>
      <c r="S313" s="403">
        <f>SUM(S17:S312)</f>
        <v>0</v>
      </c>
      <c r="T313" s="382">
        <f>P314-O314</f>
        <v>-78992761.290000021</v>
      </c>
      <c r="U313" s="382"/>
      <c r="V313" s="382">
        <f t="shared" si="89"/>
        <v>-1087028099.25</v>
      </c>
    </row>
    <row r="314" spans="1:22" s="410" customFormat="1" ht="15.75" x14ac:dyDescent="0.2">
      <c r="A314" s="402" t="s">
        <v>746</v>
      </c>
      <c r="B314" s="402" t="s">
        <v>746</v>
      </c>
      <c r="C314" s="402" t="s">
        <v>746</v>
      </c>
      <c r="D314" s="426" t="s">
        <v>753</v>
      </c>
      <c r="E314" s="915">
        <f t="shared" ref="E314:Q314" si="114">+E17+E30+E36+E83+E119+E153+E291+E160+E263+E205+E269+E296+E273+E281</f>
        <v>2120555206</v>
      </c>
      <c r="F314" s="915">
        <f t="shared" si="114"/>
        <v>1999156202</v>
      </c>
      <c r="G314" s="915">
        <f t="shared" si="114"/>
        <v>660474446</v>
      </c>
      <c r="H314" s="1332">
        <f t="shared" si="114"/>
        <v>91682120</v>
      </c>
      <c r="I314" s="1332">
        <f t="shared" si="114"/>
        <v>110114385</v>
      </c>
      <c r="J314" s="1332">
        <f t="shared" si="114"/>
        <v>1903202135.03</v>
      </c>
      <c r="K314" s="1332">
        <f t="shared" si="114"/>
        <v>472201121.80000001</v>
      </c>
      <c r="L314" s="1332">
        <f t="shared" si="114"/>
        <v>6240407</v>
      </c>
      <c r="M314" s="1332">
        <f t="shared" si="114"/>
        <v>2603901</v>
      </c>
      <c r="N314" s="1332">
        <f t="shared" si="114"/>
        <v>1431001013.23</v>
      </c>
      <c r="O314" s="1332">
        <f t="shared" si="114"/>
        <v>343972913.98000002</v>
      </c>
      <c r="P314" s="1332">
        <f t="shared" si="114"/>
        <v>264980152.69</v>
      </c>
      <c r="Q314" s="1332">
        <f t="shared" si="114"/>
        <v>4023757341.0299997</v>
      </c>
      <c r="R314" s="381">
        <f t="shared" si="97"/>
        <v>4023757341.0299997</v>
      </c>
      <c r="S314" s="431">
        <f>S313-дод1!F161</f>
        <v>-24099114</v>
      </c>
      <c r="V314" s="432">
        <f>N319-O319</f>
        <v>0</v>
      </c>
    </row>
    <row r="315" spans="1:22" s="410" customFormat="1" ht="15.75" x14ac:dyDescent="0.2">
      <c r="A315" s="427"/>
      <c r="B315" s="427"/>
      <c r="C315" s="427"/>
      <c r="D315" s="428"/>
      <c r="E315" s="429"/>
      <c r="F315" s="429"/>
      <c r="G315" s="430"/>
      <c r="H315" s="430"/>
      <c r="I315" s="430"/>
      <c r="J315" s="430"/>
      <c r="K315" s="430"/>
      <c r="L315" s="430"/>
      <c r="M315" s="430"/>
      <c r="N315" s="430"/>
      <c r="O315" s="430"/>
      <c r="P315" s="430"/>
      <c r="Q315" s="429"/>
      <c r="R315" s="381">
        <v>1</v>
      </c>
      <c r="S315" s="431"/>
      <c r="V315" s="432"/>
    </row>
    <row r="316" spans="1:22" s="410" customFormat="1" ht="15.75" x14ac:dyDescent="0.2">
      <c r="A316" s="427"/>
      <c r="B316" s="427"/>
      <c r="C316" s="427"/>
      <c r="D316" s="428"/>
      <c r="E316" s="429"/>
      <c r="F316" s="429"/>
      <c r="G316" s="430"/>
      <c r="H316" s="430"/>
      <c r="I316" s="430"/>
      <c r="J316" s="430"/>
      <c r="K316" s="430"/>
      <c r="L316" s="430"/>
      <c r="M316" s="430"/>
      <c r="N316" s="430"/>
      <c r="O316" s="430"/>
      <c r="P316" s="430"/>
      <c r="Q316" s="429"/>
      <c r="R316" s="381">
        <v>1</v>
      </c>
      <c r="S316" s="431"/>
      <c r="V316" s="432"/>
    </row>
    <row r="317" spans="1:22" s="410" customFormat="1" ht="15.75" x14ac:dyDescent="0.2">
      <c r="A317" s="427"/>
      <c r="B317" s="427"/>
      <c r="C317" s="427"/>
      <c r="D317" s="428"/>
      <c r="E317" s="429"/>
      <c r="F317" s="429"/>
      <c r="G317" s="430"/>
      <c r="H317" s="430"/>
      <c r="I317" s="430"/>
      <c r="J317" s="430"/>
      <c r="K317" s="430"/>
      <c r="L317" s="430"/>
      <c r="M317" s="430"/>
      <c r="N317" s="430"/>
      <c r="O317" s="430"/>
      <c r="P317" s="430"/>
      <c r="Q317" s="429"/>
      <c r="R317" s="381">
        <v>1</v>
      </c>
      <c r="S317" s="431"/>
      <c r="V317" s="432"/>
    </row>
    <row r="318" spans="1:22" s="410" customFormat="1" ht="15.75" x14ac:dyDescent="0.2">
      <c r="A318" s="427"/>
      <c r="B318" s="427"/>
      <c r="C318" s="427"/>
      <c r="D318" s="428"/>
      <c r="E318" s="429"/>
      <c r="F318" s="429"/>
      <c r="G318" s="430"/>
      <c r="H318" s="430"/>
      <c r="I318" s="430"/>
      <c r="J318" s="430"/>
      <c r="K318" s="430"/>
      <c r="L318" s="430"/>
      <c r="M318" s="430"/>
      <c r="N318" s="430"/>
      <c r="O318" s="430"/>
      <c r="P318" s="430"/>
      <c r="Q318" s="429"/>
      <c r="R318" s="381">
        <v>1</v>
      </c>
      <c r="S318" s="431"/>
      <c r="V318" s="432"/>
    </row>
    <row r="319" spans="1:22" s="410" customFormat="1" ht="15.75" x14ac:dyDescent="0.2">
      <c r="A319" s="427"/>
      <c r="B319" s="427"/>
      <c r="C319" s="427"/>
      <c r="D319" s="428"/>
      <c r="E319" s="429"/>
      <c r="F319" s="429"/>
      <c r="G319" s="430"/>
      <c r="H319" s="430"/>
      <c r="I319" s="430"/>
      <c r="J319" s="430"/>
      <c r="K319" s="430"/>
      <c r="L319" s="430"/>
      <c r="M319" s="430"/>
      <c r="N319" s="430"/>
      <c r="O319" s="430"/>
      <c r="P319" s="430"/>
      <c r="R319" s="381">
        <v>1</v>
      </c>
      <c r="S319" s="431"/>
      <c r="V319" s="432"/>
    </row>
    <row r="320" spans="1:22" s="410" customFormat="1" ht="18.75" x14ac:dyDescent="0.3">
      <c r="A320" s="128" t="s">
        <v>174</v>
      </c>
      <c r="B320" s="427"/>
      <c r="C320" s="427"/>
      <c r="E320" s="242"/>
      <c r="F320" s="243"/>
      <c r="G320" s="244"/>
      <c r="I320" s="433"/>
      <c r="J320" s="434"/>
      <c r="M320" s="434"/>
      <c r="N320" s="242" t="s">
        <v>1171</v>
      </c>
      <c r="O320" s="430"/>
      <c r="P320" s="430"/>
      <c r="Q320" s="429"/>
      <c r="R320" s="381">
        <v>1</v>
      </c>
      <c r="S320" s="431"/>
      <c r="V320" s="432"/>
    </row>
    <row r="321" spans="1:22" s="410" customFormat="1" ht="15.75" hidden="1" x14ac:dyDescent="0.2">
      <c r="A321" s="427"/>
      <c r="B321" s="427"/>
      <c r="C321" s="427"/>
      <c r="D321" s="428"/>
      <c r="E321" s="429"/>
      <c r="F321" s="429"/>
      <c r="G321" s="430"/>
      <c r="H321" s="430"/>
      <c r="I321" s="430"/>
      <c r="J321" s="430"/>
      <c r="K321" s="430"/>
      <c r="L321" s="430"/>
      <c r="M321" s="430"/>
      <c r="N321" s="430"/>
      <c r="O321" s="430"/>
      <c r="P321" s="430"/>
      <c r="Q321" s="813">
        <f>E314+J314</f>
        <v>4023757341.0299997</v>
      </c>
      <c r="R321" s="381">
        <v>1</v>
      </c>
      <c r="S321" s="431"/>
      <c r="V321" s="432"/>
    </row>
    <row r="322" spans="1:22" s="410" customFormat="1" ht="15.75" hidden="1" x14ac:dyDescent="0.2">
      <c r="A322" s="427"/>
      <c r="B322" s="427"/>
      <c r="C322" s="427"/>
      <c r="D322" s="428"/>
      <c r="E322" s="429">
        <f>O314+E314</f>
        <v>2464528119.98</v>
      </c>
      <c r="F322" s="429"/>
      <c r="G322" s="430"/>
      <c r="H322" s="430"/>
      <c r="I322" s="430">
        <f>I314+O314</f>
        <v>454087298.98000002</v>
      </c>
      <c r="J322" s="430"/>
      <c r="K322" s="430">
        <f>J314-O314</f>
        <v>1559229221.05</v>
      </c>
      <c r="L322" s="430"/>
      <c r="M322" s="430"/>
      <c r="N322" s="430"/>
      <c r="O322" s="430"/>
      <c r="P322" s="430"/>
      <c r="Q322" s="429">
        <f>I322+E322</f>
        <v>2918615418.96</v>
      </c>
      <c r="R322" s="381">
        <v>11</v>
      </c>
      <c r="S322" s="431"/>
      <c r="V322" s="432"/>
    </row>
    <row r="323" spans="1:22" s="410" customFormat="1" ht="15.75" hidden="1" x14ac:dyDescent="0.2">
      <c r="A323" s="427"/>
      <c r="B323" s="427"/>
      <c r="C323" s="427"/>
      <c r="D323" s="428"/>
      <c r="E323" s="429"/>
      <c r="F323" s="429"/>
      <c r="G323" s="430"/>
      <c r="H323" s="430"/>
      <c r="I323" s="430"/>
      <c r="J323" s="430"/>
      <c r="K323" s="430"/>
      <c r="L323" s="430"/>
      <c r="M323" s="430"/>
      <c r="N323" s="430"/>
      <c r="O323" s="430"/>
      <c r="P323" s="430"/>
      <c r="Q323" s="429"/>
      <c r="R323" s="381">
        <v>1</v>
      </c>
      <c r="S323" s="431"/>
      <c r="V323" s="432"/>
    </row>
    <row r="324" spans="1:22" s="410" customFormat="1" ht="15.75" hidden="1" x14ac:dyDescent="0.2">
      <c r="A324" s="427"/>
      <c r="B324" s="427"/>
      <c r="C324" s="427"/>
      <c r="D324" s="428"/>
      <c r="E324" s="429"/>
      <c r="F324" s="429"/>
      <c r="G324" s="430"/>
      <c r="H324" s="430"/>
      <c r="I324" s="430"/>
      <c r="J324" s="430"/>
      <c r="K324" s="430"/>
      <c r="L324" s="430"/>
      <c r="M324" s="430"/>
      <c r="N324" s="430"/>
      <c r="O324" s="430"/>
      <c r="P324" s="430"/>
      <c r="Q324" s="429"/>
      <c r="R324" s="381">
        <v>1</v>
      </c>
      <c r="S324" s="431">
        <v>1</v>
      </c>
      <c r="V324" s="432"/>
    </row>
    <row r="325" spans="1:22" s="440" customFormat="1" ht="20.25" hidden="1" x14ac:dyDescent="0.3">
      <c r="A325" s="427"/>
      <c r="B325" s="427"/>
      <c r="C325" s="427"/>
      <c r="N325" s="429"/>
      <c r="O325" s="435"/>
      <c r="P325" s="436"/>
      <c r="Q325" s="410"/>
      <c r="R325" s="381">
        <v>1</v>
      </c>
    </row>
    <row r="326" spans="1:22" s="189" customFormat="1" ht="15.75" hidden="1" x14ac:dyDescent="0.2">
      <c r="A326" s="437"/>
      <c r="B326" s="437"/>
      <c r="C326" s="437"/>
      <c r="D326" s="438" t="s">
        <v>79</v>
      </c>
      <c r="E326" s="439">
        <f t="shared" ref="E326:Q326" si="115">E18+E31+E37+E84+E120+E154+E161+E264+E206+E292+E274+E297+E270+E282</f>
        <v>2120555206</v>
      </c>
      <c r="F326" s="439">
        <f t="shared" si="115"/>
        <v>1999156202</v>
      </c>
      <c r="G326" s="439">
        <f t="shared" si="115"/>
        <v>660474446</v>
      </c>
      <c r="H326" s="439">
        <f t="shared" si="115"/>
        <v>91682120</v>
      </c>
      <c r="I326" s="439">
        <f t="shared" si="115"/>
        <v>110114385</v>
      </c>
      <c r="J326" s="439">
        <f t="shared" si="115"/>
        <v>1903202135.03</v>
      </c>
      <c r="K326" s="439">
        <f t="shared" si="115"/>
        <v>472201121.80000001</v>
      </c>
      <c r="L326" s="439">
        <f t="shared" si="115"/>
        <v>6240407</v>
      </c>
      <c r="M326" s="439">
        <f t="shared" si="115"/>
        <v>2603901</v>
      </c>
      <c r="N326" s="439">
        <f t="shared" si="115"/>
        <v>1431001013.23</v>
      </c>
      <c r="O326" s="439">
        <f t="shared" si="115"/>
        <v>343972913.98000002</v>
      </c>
      <c r="P326" s="439">
        <f t="shared" si="115"/>
        <v>264980152.69</v>
      </c>
      <c r="Q326" s="439">
        <f t="shared" si="115"/>
        <v>4023757341.0299997</v>
      </c>
      <c r="R326" s="381">
        <f>+E326+J326</f>
        <v>4023757341.0299997</v>
      </c>
    </row>
    <row r="327" spans="1:22" s="75" customFormat="1" hidden="1" x14ac:dyDescent="0.2">
      <c r="A327" s="188"/>
      <c r="B327" s="188"/>
      <c r="C327" s="188"/>
      <c r="D327" s="187"/>
      <c r="E327" s="501">
        <f>E314-E326</f>
        <v>0</v>
      </c>
      <c r="F327" s="187" t="b">
        <f>F314=F326</f>
        <v>1</v>
      </c>
      <c r="G327" s="187" t="b">
        <f t="shared" ref="G327:M327" si="116">G314=G326</f>
        <v>1</v>
      </c>
      <c r="H327" s="187" t="b">
        <f t="shared" si="116"/>
        <v>1</v>
      </c>
      <c r="I327" s="187" t="b">
        <f t="shared" si="116"/>
        <v>1</v>
      </c>
      <c r="J327" s="187" t="b">
        <f>J314=J326</f>
        <v>1</v>
      </c>
      <c r="K327" s="187" t="b">
        <f t="shared" si="116"/>
        <v>1</v>
      </c>
      <c r="L327" s="187" t="b">
        <f t="shared" si="116"/>
        <v>1</v>
      </c>
      <c r="M327" s="187" t="b">
        <f t="shared" si="116"/>
        <v>1</v>
      </c>
      <c r="N327" s="187" t="b">
        <f>N314=N326</f>
        <v>1</v>
      </c>
      <c r="O327" s="187" t="b">
        <f>O314=O326</f>
        <v>1</v>
      </c>
      <c r="P327" s="187" t="b">
        <f>P314=P326</f>
        <v>1</v>
      </c>
      <c r="Q327" s="501" t="b">
        <f>Q314=Q326</f>
        <v>1</v>
      </c>
      <c r="R327" s="187" t="b">
        <f>R314=R326</f>
        <v>1</v>
      </c>
      <c r="S327" s="274"/>
    </row>
    <row r="328" spans="1:22" s="75" customFormat="1" hidden="1" x14ac:dyDescent="0.2">
      <c r="A328" s="167"/>
      <c r="B328" s="167"/>
      <c r="C328" s="167"/>
      <c r="D328" s="31"/>
      <c r="E328" s="201" t="b">
        <f>E326=E314</f>
        <v>1</v>
      </c>
      <c r="F328" s="201" t="b">
        <f t="shared" ref="F328:R328" si="117">F326=F314</f>
        <v>1</v>
      </c>
      <c r="G328" s="201" t="b">
        <f t="shared" si="117"/>
        <v>1</v>
      </c>
      <c r="H328" s="201" t="b">
        <f t="shared" si="117"/>
        <v>1</v>
      </c>
      <c r="I328" s="201" t="b">
        <f t="shared" si="117"/>
        <v>1</v>
      </c>
      <c r="J328" s="201" t="b">
        <f>J326=J314</f>
        <v>1</v>
      </c>
      <c r="K328" s="201" t="b">
        <f t="shared" si="117"/>
        <v>1</v>
      </c>
      <c r="L328" s="201" t="b">
        <f t="shared" si="117"/>
        <v>1</v>
      </c>
      <c r="M328" s="201" t="b">
        <f t="shared" si="117"/>
        <v>1</v>
      </c>
      <c r="N328" s="201" t="b">
        <f>N326=N314</f>
        <v>1</v>
      </c>
      <c r="O328" s="201" t="b">
        <f>O326=O314</f>
        <v>1</v>
      </c>
      <c r="P328" s="201" t="b">
        <f>P326=P314</f>
        <v>1</v>
      </c>
      <c r="Q328" s="201" t="b">
        <f>Q326=Q314</f>
        <v>1</v>
      </c>
      <c r="R328" s="201" t="b">
        <f t="shared" si="117"/>
        <v>1</v>
      </c>
    </row>
    <row r="329" spans="1:22" s="75" customFormat="1" hidden="1" x14ac:dyDescent="0.2">
      <c r="A329" s="167"/>
      <c r="B329" s="167"/>
      <c r="C329" s="167"/>
      <c r="D329" s="31"/>
      <c r="E329" s="31"/>
      <c r="F329" s="31"/>
      <c r="G329" s="31"/>
      <c r="H329" s="31"/>
      <c r="I329" s="31"/>
      <c r="J329" s="31"/>
      <c r="K329" s="31"/>
      <c r="L329" s="31"/>
      <c r="M329" s="31"/>
      <c r="N329" s="31"/>
      <c r="O329" s="31"/>
      <c r="P329" s="74"/>
      <c r="Q329" s="31"/>
      <c r="R329" s="31"/>
    </row>
    <row r="330" spans="1:22" s="75" customFormat="1" hidden="1" x14ac:dyDescent="0.2">
      <c r="A330" s="167"/>
      <c r="B330" s="167"/>
      <c r="C330" s="167"/>
      <c r="D330" s="31"/>
      <c r="E330" s="31"/>
      <c r="F330" s="31"/>
      <c r="G330" s="31"/>
      <c r="H330" s="31"/>
      <c r="I330" s="31"/>
      <c r="J330" s="31"/>
      <c r="K330" s="31"/>
      <c r="L330" s="31"/>
      <c r="M330" s="31"/>
      <c r="N330" s="31"/>
      <c r="O330" s="202">
        <f>E314+P314</f>
        <v>2385535358.6900001</v>
      </c>
      <c r="P330" s="74"/>
      <c r="Q330" s="31"/>
      <c r="R330" s="31"/>
    </row>
    <row r="331" spans="1:22" s="75" customFormat="1" hidden="1" x14ac:dyDescent="0.2">
      <c r="A331" s="167"/>
      <c r="B331" s="167"/>
      <c r="C331" s="167"/>
      <c r="D331" s="31"/>
      <c r="E331" s="202" t="b">
        <f>E326=E314</f>
        <v>1</v>
      </c>
      <c r="F331" s="202" t="b">
        <f t="shared" ref="F331:R331" si="118">F326=F314</f>
        <v>1</v>
      </c>
      <c r="G331" s="202" t="b">
        <f t="shared" si="118"/>
        <v>1</v>
      </c>
      <c r="H331" s="202" t="b">
        <f t="shared" si="118"/>
        <v>1</v>
      </c>
      <c r="I331" s="202" t="b">
        <f t="shared" si="118"/>
        <v>1</v>
      </c>
      <c r="J331" s="202" t="b">
        <f t="shared" si="118"/>
        <v>1</v>
      </c>
      <c r="K331" s="202" t="b">
        <f t="shared" si="118"/>
        <v>1</v>
      </c>
      <c r="L331" s="202" t="b">
        <f t="shared" si="118"/>
        <v>1</v>
      </c>
      <c r="M331" s="202" t="b">
        <f t="shared" si="118"/>
        <v>1</v>
      </c>
      <c r="N331" s="202" t="b">
        <f t="shared" si="118"/>
        <v>1</v>
      </c>
      <c r="O331" s="202" t="b">
        <f t="shared" si="118"/>
        <v>1</v>
      </c>
      <c r="P331" s="202" t="b">
        <f t="shared" si="118"/>
        <v>1</v>
      </c>
      <c r="Q331" s="202" t="b">
        <f t="shared" si="118"/>
        <v>1</v>
      </c>
      <c r="R331" s="202" t="b">
        <f t="shared" si="118"/>
        <v>1</v>
      </c>
    </row>
    <row r="332" spans="1:22" s="75" customFormat="1" hidden="1" x14ac:dyDescent="0.2">
      <c r="A332" s="167"/>
      <c r="B332" s="167"/>
      <c r="C332" s="167"/>
      <c r="D332" s="31"/>
      <c r="E332" s="31"/>
      <c r="F332" s="31"/>
      <c r="G332" s="31"/>
      <c r="H332" s="31"/>
      <c r="I332" s="31"/>
      <c r="J332" s="31"/>
      <c r="K332" s="31"/>
      <c r="L332" s="31"/>
      <c r="M332" s="31"/>
      <c r="N332" s="31"/>
      <c r="O332" s="31"/>
      <c r="P332" s="74"/>
      <c r="Q332" s="31"/>
      <c r="R332" s="31"/>
    </row>
    <row r="333" spans="1:22" s="75" customFormat="1" hidden="1" x14ac:dyDescent="0.2">
      <c r="A333" s="167"/>
      <c r="B333" s="167"/>
      <c r="C333" s="167"/>
      <c r="D333" s="31"/>
      <c r="E333" s="31"/>
      <c r="F333" s="31"/>
      <c r="G333" s="31"/>
      <c r="H333" s="31"/>
      <c r="I333" s="31"/>
      <c r="J333" s="31"/>
      <c r="K333" s="31"/>
      <c r="L333" s="31"/>
      <c r="M333" s="31"/>
      <c r="N333" s="31"/>
      <c r="O333" s="31"/>
      <c r="P333" s="74"/>
      <c r="Q333" s="31"/>
      <c r="R333" s="31"/>
    </row>
    <row r="334" spans="1:22" hidden="1" x14ac:dyDescent="0.2">
      <c r="A334" s="167"/>
      <c r="B334" s="167"/>
      <c r="C334" s="167"/>
      <c r="D334" s="31"/>
      <c r="E334" s="31"/>
      <c r="F334" s="31"/>
      <c r="G334" s="31"/>
      <c r="H334" s="31"/>
      <c r="I334" s="31"/>
      <c r="J334" s="31"/>
      <c r="K334" s="31"/>
      <c r="L334" s="31"/>
      <c r="M334" s="31"/>
      <c r="N334" s="31"/>
      <c r="O334" s="31"/>
      <c r="P334" s="74"/>
      <c r="Q334" s="202">
        <f>E314+J314</f>
        <v>4023757341.0299997</v>
      </c>
      <c r="R334" s="31"/>
    </row>
    <row r="335" spans="1:22" hidden="1" x14ac:dyDescent="0.2">
      <c r="E335" s="369" t="b">
        <f>E314=E326</f>
        <v>1</v>
      </c>
      <c r="F335" s="369" t="b">
        <f t="shared" ref="F335:R335" si="119">F314=F326</f>
        <v>1</v>
      </c>
      <c r="G335" s="369" t="b">
        <f t="shared" si="119"/>
        <v>1</v>
      </c>
      <c r="H335" s="369" t="b">
        <f t="shared" si="119"/>
        <v>1</v>
      </c>
      <c r="I335" s="369" t="b">
        <f t="shared" si="119"/>
        <v>1</v>
      </c>
      <c r="J335" s="369" t="b">
        <f t="shared" si="119"/>
        <v>1</v>
      </c>
      <c r="K335" s="369" t="b">
        <f t="shared" si="119"/>
        <v>1</v>
      </c>
      <c r="L335" s="369" t="b">
        <f t="shared" si="119"/>
        <v>1</v>
      </c>
      <c r="M335" s="369" t="b">
        <f t="shared" si="119"/>
        <v>1</v>
      </c>
      <c r="N335" s="369" t="b">
        <f t="shared" si="119"/>
        <v>1</v>
      </c>
      <c r="O335" s="369" t="b">
        <f t="shared" si="119"/>
        <v>1</v>
      </c>
      <c r="P335" s="369" t="b">
        <f t="shared" si="119"/>
        <v>1</v>
      </c>
      <c r="Q335" s="369" t="b">
        <f t="shared" si="119"/>
        <v>1</v>
      </c>
      <c r="R335" s="369" t="b">
        <f t="shared" si="119"/>
        <v>1</v>
      </c>
    </row>
    <row r="336" spans="1:22" hidden="1" x14ac:dyDescent="0.2"/>
    <row r="337" spans="5:18" hidden="1" x14ac:dyDescent="0.2"/>
    <row r="338" spans="5:18" hidden="1" x14ac:dyDescent="0.2"/>
    <row r="339" spans="5:18" hidden="1" x14ac:dyDescent="0.2"/>
    <row r="340" spans="5:18" hidden="1" x14ac:dyDescent="0.2">
      <c r="E340" s="1023">
        <v>1997504807</v>
      </c>
      <c r="F340" s="1023">
        <v>1950396140</v>
      </c>
      <c r="G340" s="1023">
        <v>658150700</v>
      </c>
      <c r="H340" s="1023">
        <v>86997380</v>
      </c>
      <c r="I340" s="1023">
        <v>35728367</v>
      </c>
      <c r="J340" s="1023">
        <v>1656680968.03</v>
      </c>
      <c r="K340" s="1023">
        <v>452770646.84000003</v>
      </c>
      <c r="L340" s="1023">
        <v>6240407</v>
      </c>
      <c r="M340" s="1023">
        <v>2603901</v>
      </c>
      <c r="N340" s="1023">
        <v>1203910321.1900001</v>
      </c>
      <c r="O340" s="1023">
        <v>206641608.5</v>
      </c>
      <c r="P340" s="1023">
        <v>177689334.69</v>
      </c>
      <c r="Q340" s="1023">
        <v>3654185775.0299997</v>
      </c>
      <c r="R340" s="605">
        <f>R314-R336</f>
        <v>4023757341.0299997</v>
      </c>
    </row>
    <row r="341" spans="5:18" hidden="1" x14ac:dyDescent="0.2">
      <c r="E341" s="377"/>
      <c r="F341" s="377"/>
      <c r="G341" s="377"/>
      <c r="H341" s="377"/>
      <c r="I341" s="377"/>
      <c r="J341" s="377"/>
      <c r="K341" s="377"/>
      <c r="L341" s="377"/>
      <c r="M341" s="377"/>
      <c r="N341" s="377"/>
      <c r="O341" s="377"/>
      <c r="P341" s="1024"/>
      <c r="Q341" s="377"/>
    </row>
    <row r="342" spans="5:18" hidden="1" x14ac:dyDescent="0.2">
      <c r="E342" s="377"/>
      <c r="F342" s="377"/>
      <c r="G342" s="377"/>
      <c r="H342" s="377"/>
      <c r="I342" s="377"/>
      <c r="J342" s="377"/>
      <c r="K342" s="377"/>
      <c r="L342" s="377"/>
      <c r="M342" s="377"/>
      <c r="N342" s="377"/>
      <c r="O342" s="377"/>
      <c r="P342" s="1024"/>
      <c r="Q342" s="377"/>
    </row>
    <row r="343" spans="5:18" hidden="1" x14ac:dyDescent="0.2">
      <c r="E343" s="377"/>
      <c r="F343" s="377"/>
      <c r="G343" s="377"/>
      <c r="H343" s="377"/>
      <c r="I343" s="377"/>
      <c r="J343" s="377"/>
      <c r="K343" s="377"/>
      <c r="L343" s="377"/>
      <c r="M343" s="377"/>
      <c r="N343" s="377"/>
      <c r="O343" s="377"/>
      <c r="P343" s="1024"/>
      <c r="Q343" s="377"/>
    </row>
    <row r="344" spans="5:18" hidden="1" x14ac:dyDescent="0.2">
      <c r="E344" s="1023">
        <f>E314-E340</f>
        <v>123050399</v>
      </c>
      <c r="F344" s="1023">
        <f t="shared" ref="F344:R344" si="120">F314-F340</f>
        <v>48760062</v>
      </c>
      <c r="G344" s="1023">
        <f t="shared" si="120"/>
        <v>2323746</v>
      </c>
      <c r="H344" s="1023">
        <f t="shared" si="120"/>
        <v>4684740</v>
      </c>
      <c r="I344" s="1023">
        <f t="shared" si="120"/>
        <v>74386018</v>
      </c>
      <c r="J344" s="1023">
        <f t="shared" si="120"/>
        <v>246521167</v>
      </c>
      <c r="K344" s="1023">
        <f t="shared" si="120"/>
        <v>19430474.959999979</v>
      </c>
      <c r="L344" s="1023">
        <f t="shared" si="120"/>
        <v>0</v>
      </c>
      <c r="M344" s="1023">
        <f t="shared" si="120"/>
        <v>0</v>
      </c>
      <c r="N344" s="1023">
        <f t="shared" si="120"/>
        <v>227090692.03999996</v>
      </c>
      <c r="O344" s="1023">
        <f t="shared" si="120"/>
        <v>137331305.48000002</v>
      </c>
      <c r="P344" s="1023">
        <f t="shared" si="120"/>
        <v>87290818</v>
      </c>
      <c r="Q344" s="1023">
        <f t="shared" si="120"/>
        <v>369571566</v>
      </c>
      <c r="R344" s="605">
        <f t="shared" si="120"/>
        <v>0</v>
      </c>
    </row>
    <row r="345" spans="5:18" hidden="1" x14ac:dyDescent="0.2">
      <c r="E345" s="377"/>
      <c r="F345" s="377"/>
      <c r="G345" s="377"/>
      <c r="H345" s="377"/>
      <c r="I345" s="377"/>
      <c r="J345" s="377"/>
      <c r="K345" s="377"/>
      <c r="L345" s="377"/>
      <c r="M345" s="377"/>
      <c r="N345" s="377"/>
      <c r="O345" s="377"/>
      <c r="P345" s="1024"/>
      <c r="Q345" s="377"/>
    </row>
    <row r="346" spans="5:18" hidden="1" x14ac:dyDescent="0.2">
      <c r="E346" s="377"/>
      <c r="F346" s="377"/>
      <c r="G346" s="377"/>
      <c r="H346" s="377"/>
      <c r="I346" s="377"/>
      <c r="J346" s="377"/>
      <c r="K346" s="377"/>
      <c r="L346" s="377"/>
      <c r="M346" s="377"/>
      <c r="N346" s="377"/>
      <c r="O346" s="377"/>
      <c r="P346" s="1024"/>
      <c r="Q346" s="377"/>
    </row>
    <row r="347" spans="5:18" hidden="1" x14ac:dyDescent="0.2"/>
    <row r="348" spans="5:18" hidden="1" x14ac:dyDescent="0.2"/>
    <row r="349" spans="5:18" hidden="1" x14ac:dyDescent="0.2"/>
    <row r="350" spans="5:18" hidden="1" x14ac:dyDescent="0.2"/>
    <row r="351" spans="5:18" hidden="1" x14ac:dyDescent="0.2"/>
    <row r="352" spans="5:18"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sheetData>
  <autoFilter ref="A1:R334">
    <filterColumn colId="13" showButton="0"/>
    <filterColumn colId="14" showButton="0"/>
    <filterColumn colId="15" showButton="0"/>
    <filterColumn colId="17">
      <customFilters and="1">
        <customFilter operator="greaterThan" val="0"/>
      </customFilters>
    </filterColumn>
  </autoFilter>
  <mergeCells count="27">
    <mergeCell ref="N1:Q1"/>
    <mergeCell ref="Q10:Q15"/>
    <mergeCell ref="O12:O15"/>
    <mergeCell ref="L13:L15"/>
    <mergeCell ref="M13:M15"/>
    <mergeCell ref="J11:J15"/>
    <mergeCell ref="N2:Q2"/>
    <mergeCell ref="J10:P10"/>
    <mergeCell ref="A5:Q5"/>
    <mergeCell ref="L11:M12"/>
    <mergeCell ref="N11:N15"/>
    <mergeCell ref="A10:A15"/>
    <mergeCell ref="E11:E15"/>
    <mergeCell ref="K11:K15"/>
    <mergeCell ref="B10:B15"/>
    <mergeCell ref="C10:C15"/>
    <mergeCell ref="D10:D15"/>
    <mergeCell ref="A7:B7"/>
    <mergeCell ref="A8:B8"/>
    <mergeCell ref="A4:Q4"/>
    <mergeCell ref="P13:P15"/>
    <mergeCell ref="E10:I10"/>
    <mergeCell ref="F11:F15"/>
    <mergeCell ref="H13:H15"/>
    <mergeCell ref="I11:I15"/>
    <mergeCell ref="G11:H12"/>
    <mergeCell ref="G13:G15"/>
  </mergeCells>
  <phoneticPr fontId="0" type="noConversion"/>
  <printOptions horizontalCentered="1"/>
  <pageMargins left="0.19685039370078741" right="0.19685039370078741" top="0.39370078740157483" bottom="0.15748031496062992" header="0.15748031496062992" footer="0.15748031496062992"/>
  <pageSetup paperSize="9" scale="44" fitToWidth="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C00000"/>
  </sheetPr>
  <dimension ref="A1:Q60"/>
  <sheetViews>
    <sheetView showZeros="0" view="pageBreakPreview" zoomScale="70" zoomScaleNormal="75" zoomScaleSheetLayoutView="70" workbookViewId="0">
      <pane xSplit="4" ySplit="12" topLeftCell="E13" activePane="bottomRight" state="frozen"/>
      <selection pane="topRight" activeCell="C1" sqref="C1"/>
      <selection pane="bottomLeft" activeCell="A13" sqref="A13"/>
      <selection pane="bottomRight" activeCell="A28" sqref="A28:IV60"/>
    </sheetView>
  </sheetViews>
  <sheetFormatPr defaultRowHeight="12.75" x14ac:dyDescent="0.2"/>
  <cols>
    <col min="1" max="2" width="15" customWidth="1"/>
    <col min="3" max="3" width="16.140625" customWidth="1"/>
    <col min="4" max="4" width="37.42578125" customWidth="1"/>
    <col min="5" max="5" width="12.85546875" customWidth="1"/>
    <col min="6" max="6" width="15.140625" customWidth="1"/>
    <col min="7" max="7" width="13.85546875" customWidth="1"/>
    <col min="8" max="8" width="13.5703125" bestFit="1" customWidth="1"/>
    <col min="9" max="9" width="12.42578125" customWidth="1"/>
    <col min="10" max="10" width="14.85546875" customWidth="1"/>
    <col min="11" max="11" width="12.28515625" customWidth="1"/>
    <col min="12" max="12" width="11.42578125" customWidth="1"/>
    <col min="13" max="13" width="12.5703125" customWidth="1"/>
    <col min="14" max="14" width="12.7109375" customWidth="1"/>
    <col min="15" max="15" width="13.85546875" customWidth="1"/>
    <col min="16" max="16" width="11.42578125" customWidth="1"/>
  </cols>
  <sheetData>
    <row r="1" spans="1:17" ht="18.75" x14ac:dyDescent="0.3">
      <c r="A1" s="2"/>
      <c r="B1" s="2"/>
      <c r="C1" s="2"/>
      <c r="D1" s="2"/>
      <c r="E1" s="2"/>
      <c r="F1" s="2"/>
      <c r="G1" s="2"/>
      <c r="H1" s="2"/>
      <c r="I1" s="2"/>
      <c r="J1" s="2"/>
      <c r="K1" s="2"/>
      <c r="L1" t="s">
        <v>217</v>
      </c>
      <c r="M1" s="1717" t="s">
        <v>241</v>
      </c>
      <c r="N1" s="1717"/>
      <c r="O1" s="1717"/>
      <c r="P1" s="1717"/>
    </row>
    <row r="2" spans="1:17" ht="18.75" x14ac:dyDescent="0.3">
      <c r="A2" s="2"/>
      <c r="B2" s="2"/>
      <c r="C2" s="2"/>
      <c r="D2" s="2"/>
      <c r="E2" s="2"/>
      <c r="F2" s="2"/>
      <c r="G2" s="2"/>
      <c r="H2" s="2"/>
      <c r="I2" s="2"/>
      <c r="J2" s="2"/>
      <c r="K2" s="2"/>
      <c r="M2" s="1717" t="s">
        <v>274</v>
      </c>
      <c r="N2" s="1717"/>
      <c r="O2" s="1717"/>
      <c r="P2" s="1717"/>
    </row>
    <row r="3" spans="1:17" ht="16.5" customHeight="1" x14ac:dyDescent="0.35">
      <c r="A3" s="2"/>
      <c r="B3" s="2"/>
      <c r="C3" s="2"/>
      <c r="D3" s="23"/>
      <c r="E3" s="2"/>
      <c r="F3" s="2"/>
      <c r="G3" s="2"/>
      <c r="H3" s="2"/>
      <c r="I3" s="2"/>
      <c r="J3" s="2"/>
      <c r="K3" s="2"/>
      <c r="M3" s="1717" t="s">
        <v>835</v>
      </c>
      <c r="N3" s="1717"/>
      <c r="O3" s="1717"/>
      <c r="P3" s="1717"/>
    </row>
    <row r="4" spans="1:17" ht="38.25" customHeight="1" x14ac:dyDescent="0.3">
      <c r="A4" s="1718" t="s">
        <v>1051</v>
      </c>
      <c r="B4" s="1718"/>
      <c r="C4" s="1718"/>
      <c r="D4" s="1718"/>
      <c r="E4" s="1718"/>
      <c r="F4" s="1718"/>
      <c r="G4" s="1718"/>
      <c r="H4" s="1718"/>
      <c r="I4" s="1718"/>
      <c r="J4" s="1718"/>
      <c r="K4" s="1718"/>
      <c r="L4" s="1718"/>
      <c r="M4" s="1718"/>
      <c r="N4" s="1718"/>
      <c r="O4" s="1718"/>
      <c r="P4" s="1718"/>
    </row>
    <row r="5" spans="1:17" s="302" customFormat="1" ht="23.25" x14ac:dyDescent="0.35">
      <c r="A5" s="1688" t="s">
        <v>855</v>
      </c>
      <c r="B5" s="1688"/>
      <c r="C5" s="555"/>
      <c r="E5" s="555"/>
      <c r="F5" s="555"/>
      <c r="G5" s="555"/>
      <c r="H5" s="555"/>
      <c r="I5" s="555"/>
      <c r="J5" s="555"/>
      <c r="K5" s="555"/>
      <c r="L5" s="555"/>
      <c r="M5" s="555"/>
      <c r="N5" s="555"/>
      <c r="O5" s="555"/>
      <c r="P5" s="555"/>
    </row>
    <row r="6" spans="1:17" s="302" customFormat="1" ht="16.5" customHeight="1" x14ac:dyDescent="0.3">
      <c r="A6" s="1711" t="s">
        <v>856</v>
      </c>
      <c r="B6" s="1711"/>
      <c r="C6" s="2"/>
      <c r="E6" s="2"/>
      <c r="F6" s="2"/>
      <c r="G6" s="2"/>
      <c r="H6" s="2"/>
      <c r="I6" s="2"/>
      <c r="J6" s="2"/>
      <c r="K6" s="2"/>
      <c r="N6" s="2"/>
      <c r="O6" s="2"/>
      <c r="P6" s="96" t="s">
        <v>737</v>
      </c>
    </row>
    <row r="7" spans="1:17" ht="21.75" customHeight="1" x14ac:dyDescent="0.2">
      <c r="A7" s="1723" t="s">
        <v>903</v>
      </c>
      <c r="B7" s="1723" t="s">
        <v>901</v>
      </c>
      <c r="C7" s="1723" t="s">
        <v>750</v>
      </c>
      <c r="D7" s="1723" t="s">
        <v>902</v>
      </c>
      <c r="E7" s="1721" t="s">
        <v>193</v>
      </c>
      <c r="F7" s="1726"/>
      <c r="G7" s="1726"/>
      <c r="H7" s="1726"/>
      <c r="I7" s="1719" t="s">
        <v>194</v>
      </c>
      <c r="J7" s="1720"/>
      <c r="K7" s="1720"/>
      <c r="L7" s="1720"/>
      <c r="M7" s="1719" t="s">
        <v>741</v>
      </c>
      <c r="N7" s="1720"/>
      <c r="O7" s="1720"/>
      <c r="P7" s="1721"/>
    </row>
    <row r="8" spans="1:17" ht="21" customHeight="1" x14ac:dyDescent="0.2">
      <c r="A8" s="1724"/>
      <c r="B8" s="1724"/>
      <c r="C8" s="1724"/>
      <c r="D8" s="1724"/>
      <c r="E8" s="1713" t="s">
        <v>114</v>
      </c>
      <c r="F8" s="1712" t="s">
        <v>115</v>
      </c>
      <c r="G8" s="1713"/>
      <c r="H8" s="1714" t="s">
        <v>752</v>
      </c>
      <c r="I8" s="1713" t="s">
        <v>114</v>
      </c>
      <c r="J8" s="1712" t="s">
        <v>115</v>
      </c>
      <c r="K8" s="1713"/>
      <c r="L8" s="1714" t="s">
        <v>752</v>
      </c>
      <c r="M8" s="1713" t="s">
        <v>114</v>
      </c>
      <c r="N8" s="1712" t="s">
        <v>115</v>
      </c>
      <c r="O8" s="1713"/>
      <c r="P8" s="1714" t="s">
        <v>752</v>
      </c>
    </row>
    <row r="9" spans="1:17" ht="33" customHeight="1" x14ac:dyDescent="0.2">
      <c r="A9" s="1724"/>
      <c r="B9" s="1724"/>
      <c r="C9" s="1724"/>
      <c r="D9" s="1724"/>
      <c r="E9" s="1713"/>
      <c r="F9" s="1714" t="s">
        <v>744</v>
      </c>
      <c r="G9" s="1722" t="s">
        <v>751</v>
      </c>
      <c r="H9" s="1715"/>
      <c r="I9" s="1713"/>
      <c r="J9" s="1714" t="s">
        <v>744</v>
      </c>
      <c r="K9" s="1722" t="s">
        <v>751</v>
      </c>
      <c r="L9" s="1715"/>
      <c r="M9" s="1713"/>
      <c r="N9" s="1714" t="s">
        <v>744</v>
      </c>
      <c r="O9" s="1722" t="s">
        <v>751</v>
      </c>
      <c r="P9" s="1715"/>
    </row>
    <row r="10" spans="1:17" ht="31.5" customHeight="1" x14ac:dyDescent="0.2">
      <c r="A10" s="1724"/>
      <c r="B10" s="1724"/>
      <c r="C10" s="1724"/>
      <c r="D10" s="1724"/>
      <c r="E10" s="1713"/>
      <c r="F10" s="1715"/>
      <c r="G10" s="1722"/>
      <c r="H10" s="1715"/>
      <c r="I10" s="1713"/>
      <c r="J10" s="1715"/>
      <c r="K10" s="1722"/>
      <c r="L10" s="1715"/>
      <c r="M10" s="1713"/>
      <c r="N10" s="1715"/>
      <c r="O10" s="1722"/>
      <c r="P10" s="1715"/>
    </row>
    <row r="11" spans="1:17" ht="31.5" customHeight="1" x14ac:dyDescent="0.2">
      <c r="A11" s="1725"/>
      <c r="B11" s="1725"/>
      <c r="C11" s="1725"/>
      <c r="D11" s="1725"/>
      <c r="E11" s="1713"/>
      <c r="F11" s="1716"/>
      <c r="G11" s="1722"/>
      <c r="H11" s="1716"/>
      <c r="I11" s="1713"/>
      <c r="J11" s="1716"/>
      <c r="K11" s="1722"/>
      <c r="L11" s="1716"/>
      <c r="M11" s="1713"/>
      <c r="N11" s="1716"/>
      <c r="O11" s="1722"/>
      <c r="P11" s="1716"/>
    </row>
    <row r="12" spans="1:17" ht="16.5" customHeight="1" x14ac:dyDescent="0.25">
      <c r="A12" s="21">
        <v>1</v>
      </c>
      <c r="B12" s="21">
        <v>2</v>
      </c>
      <c r="C12" s="21">
        <v>3</v>
      </c>
      <c r="D12" s="21">
        <v>4</v>
      </c>
      <c r="E12" s="3">
        <v>5</v>
      </c>
      <c r="F12" s="21">
        <v>6</v>
      </c>
      <c r="G12" s="21">
        <v>7</v>
      </c>
      <c r="H12" s="3">
        <v>8</v>
      </c>
      <c r="I12" s="21">
        <v>9</v>
      </c>
      <c r="J12" s="3">
        <v>10</v>
      </c>
      <c r="K12" s="21">
        <v>11</v>
      </c>
      <c r="L12" s="21">
        <v>12</v>
      </c>
      <c r="M12" s="3">
        <v>13</v>
      </c>
      <c r="N12" s="21">
        <v>14</v>
      </c>
      <c r="O12" s="21">
        <v>15</v>
      </c>
      <c r="P12" s="3">
        <v>16</v>
      </c>
    </row>
    <row r="13" spans="1:17" s="177" customFormat="1" ht="56.45" customHeight="1" x14ac:dyDescent="0.2">
      <c r="A13" s="174">
        <v>1000000</v>
      </c>
      <c r="B13" s="174"/>
      <c r="C13" s="174"/>
      <c r="D13" s="394" t="s">
        <v>885</v>
      </c>
      <c r="E13" s="1071">
        <f>SUM(E15:E16)</f>
        <v>826300</v>
      </c>
      <c r="F13" s="1071">
        <f t="shared" ref="F13:P13" si="0">SUM(F15:F16)</f>
        <v>606818</v>
      </c>
      <c r="G13" s="1071">
        <f t="shared" si="0"/>
        <v>0</v>
      </c>
      <c r="H13" s="1071">
        <f t="shared" si="0"/>
        <v>1433118</v>
      </c>
      <c r="I13" s="1071">
        <f t="shared" si="0"/>
        <v>0</v>
      </c>
      <c r="J13" s="1071">
        <f t="shared" si="0"/>
        <v>-382000</v>
      </c>
      <c r="K13" s="1071">
        <f t="shared" si="0"/>
        <v>0</v>
      </c>
      <c r="L13" s="1071">
        <f t="shared" si="0"/>
        <v>-382000</v>
      </c>
      <c r="M13" s="1071">
        <f t="shared" si="0"/>
        <v>826300</v>
      </c>
      <c r="N13" s="1071">
        <f t="shared" si="0"/>
        <v>224818</v>
      </c>
      <c r="O13" s="1071">
        <f t="shared" si="0"/>
        <v>0</v>
      </c>
      <c r="P13" s="1071">
        <f t="shared" si="0"/>
        <v>1051118</v>
      </c>
    </row>
    <row r="14" spans="1:17" s="177" customFormat="1" ht="55.15" customHeight="1" x14ac:dyDescent="0.2">
      <c r="A14" s="174">
        <v>1010000</v>
      </c>
      <c r="B14" s="174"/>
      <c r="C14" s="174"/>
      <c r="D14" s="394" t="s">
        <v>885</v>
      </c>
      <c r="E14" s="1071">
        <f>SUM(E15:E16)</f>
        <v>826300</v>
      </c>
      <c r="F14" s="1071">
        <f t="shared" ref="F14:P14" si="1">SUM(F15:F16)</f>
        <v>606818</v>
      </c>
      <c r="G14" s="1071">
        <f t="shared" si="1"/>
        <v>0</v>
      </c>
      <c r="H14" s="1071">
        <f t="shared" si="1"/>
        <v>1433118</v>
      </c>
      <c r="I14" s="1071">
        <f t="shared" si="1"/>
        <v>0</v>
      </c>
      <c r="J14" s="1071">
        <f t="shared" si="1"/>
        <v>-382000</v>
      </c>
      <c r="K14" s="1071">
        <f t="shared" si="1"/>
        <v>0</v>
      </c>
      <c r="L14" s="1071">
        <f t="shared" si="1"/>
        <v>-382000</v>
      </c>
      <c r="M14" s="1071">
        <f t="shared" si="1"/>
        <v>826300</v>
      </c>
      <c r="N14" s="1071">
        <f t="shared" si="1"/>
        <v>224818</v>
      </c>
      <c r="O14" s="1071">
        <f t="shared" si="1"/>
        <v>0</v>
      </c>
      <c r="P14" s="1071">
        <f t="shared" si="1"/>
        <v>1051118</v>
      </c>
    </row>
    <row r="15" spans="1:17" s="193" customFormat="1" ht="63" x14ac:dyDescent="0.35">
      <c r="A15" s="190">
        <v>1018821</v>
      </c>
      <c r="B15" s="190">
        <v>8821</v>
      </c>
      <c r="C15" s="190">
        <v>1060</v>
      </c>
      <c r="D15" s="191" t="s">
        <v>905</v>
      </c>
      <c r="E15" s="1072">
        <v>826300</v>
      </c>
      <c r="F15" s="1073">
        <f>360400+246418</f>
        <v>606818</v>
      </c>
      <c r="G15" s="1073"/>
      <c r="H15" s="1073">
        <f t="shared" ref="H15:H23" si="2">E15+F15</f>
        <v>1433118</v>
      </c>
      <c r="I15" s="1073"/>
      <c r="J15" s="1074"/>
      <c r="K15" s="1074"/>
      <c r="L15" s="1073">
        <f t="shared" ref="L15:L23" si="3">I15+J15</f>
        <v>0</v>
      </c>
      <c r="M15" s="1075">
        <f t="shared" ref="M15:M23" si="4">E15+I15</f>
        <v>826300</v>
      </c>
      <c r="N15" s="1075">
        <f>F15+J15</f>
        <v>606818</v>
      </c>
      <c r="O15" s="1075"/>
      <c r="P15" s="1075">
        <f t="shared" ref="P15:P23" si="5">H15+L15</f>
        <v>1433118</v>
      </c>
      <c r="Q15" s="192"/>
    </row>
    <row r="16" spans="1:17" s="193" customFormat="1" ht="78.75" x14ac:dyDescent="0.2">
      <c r="A16" s="190">
        <v>1018822</v>
      </c>
      <c r="B16" s="190">
        <v>8822</v>
      </c>
      <c r="C16" s="190">
        <v>1060</v>
      </c>
      <c r="D16" s="191" t="s">
        <v>906</v>
      </c>
      <c r="E16" s="1073"/>
      <c r="F16" s="1073"/>
      <c r="G16" s="1073"/>
      <c r="H16" s="1073">
        <f t="shared" si="2"/>
        <v>0</v>
      </c>
      <c r="I16" s="1073"/>
      <c r="J16" s="1074">
        <v>-382000</v>
      </c>
      <c r="K16" s="1074"/>
      <c r="L16" s="1073">
        <f t="shared" si="3"/>
        <v>-382000</v>
      </c>
      <c r="M16" s="1075">
        <f t="shared" si="4"/>
        <v>0</v>
      </c>
      <c r="N16" s="1075">
        <f>F16+J16</f>
        <v>-382000</v>
      </c>
      <c r="O16" s="1075"/>
      <c r="P16" s="1075">
        <f t="shared" si="5"/>
        <v>-382000</v>
      </c>
    </row>
    <row r="17" spans="1:17" s="17" customFormat="1" ht="35.25" hidden="1" customHeight="1" x14ac:dyDescent="0.2">
      <c r="A17" s="48"/>
      <c r="B17" s="48"/>
      <c r="C17" s="48"/>
      <c r="D17" s="47" t="s">
        <v>146</v>
      </c>
      <c r="E17" s="1076">
        <f>SUM(E18:E19)</f>
        <v>0</v>
      </c>
      <c r="F17" s="1076">
        <f>SUM(F18:F19)</f>
        <v>0</v>
      </c>
      <c r="G17" s="1076"/>
      <c r="H17" s="1076">
        <f t="shared" si="2"/>
        <v>0</v>
      </c>
      <c r="I17" s="1076">
        <f>SUM(I18:I19)</f>
        <v>0</v>
      </c>
      <c r="J17" s="1076">
        <f>SUM(J18:J19)</f>
        <v>0</v>
      </c>
      <c r="K17" s="1076"/>
      <c r="L17" s="1076">
        <f t="shared" si="3"/>
        <v>0</v>
      </c>
      <c r="M17" s="1076">
        <f t="shared" si="4"/>
        <v>0</v>
      </c>
      <c r="N17" s="1076">
        <f>F17+J17</f>
        <v>0</v>
      </c>
      <c r="O17" s="1076"/>
      <c r="P17" s="1076">
        <f t="shared" si="5"/>
        <v>0</v>
      </c>
    </row>
    <row r="18" spans="1:17" ht="51" hidden="1" customHeight="1" x14ac:dyDescent="0.35">
      <c r="A18" s="43"/>
      <c r="B18" s="43"/>
      <c r="C18" s="43"/>
      <c r="D18" s="39" t="s">
        <v>164</v>
      </c>
      <c r="E18" s="1077"/>
      <c r="F18" s="1077"/>
      <c r="G18" s="1077"/>
      <c r="H18" s="1077">
        <f t="shared" si="2"/>
        <v>0</v>
      </c>
      <c r="I18" s="1077"/>
      <c r="J18" s="1078"/>
      <c r="K18" s="1078"/>
      <c r="L18" s="1077">
        <f t="shared" si="3"/>
        <v>0</v>
      </c>
      <c r="M18" s="1076">
        <f t="shared" si="4"/>
        <v>0</v>
      </c>
      <c r="N18" s="1076">
        <f>F18+J18</f>
        <v>0</v>
      </c>
      <c r="O18" s="1076"/>
      <c r="P18" s="1076">
        <f t="shared" si="5"/>
        <v>0</v>
      </c>
      <c r="Q18" s="22"/>
    </row>
    <row r="19" spans="1:17" ht="51.75" hidden="1" customHeight="1" x14ac:dyDescent="0.2">
      <c r="A19" s="43"/>
      <c r="B19" s="43"/>
      <c r="C19" s="43"/>
      <c r="D19" s="39" t="s">
        <v>4</v>
      </c>
      <c r="E19" s="1077"/>
      <c r="F19" s="1077"/>
      <c r="G19" s="1077"/>
      <c r="H19" s="1077">
        <f t="shared" si="2"/>
        <v>0</v>
      </c>
      <c r="I19" s="1077"/>
      <c r="J19" s="1078"/>
      <c r="K19" s="1078"/>
      <c r="L19" s="1077">
        <f t="shared" si="3"/>
        <v>0</v>
      </c>
      <c r="M19" s="1076">
        <f t="shared" si="4"/>
        <v>0</v>
      </c>
      <c r="N19" s="1076">
        <f>F19+J19</f>
        <v>0</v>
      </c>
      <c r="O19" s="1076"/>
      <c r="P19" s="1076">
        <f t="shared" si="5"/>
        <v>0</v>
      </c>
    </row>
    <row r="20" spans="1:17" s="177" customFormat="1" ht="73.150000000000006" customHeight="1" x14ac:dyDescent="0.2">
      <c r="A20" s="174">
        <v>2700000</v>
      </c>
      <c r="B20" s="174"/>
      <c r="C20" s="174"/>
      <c r="D20" s="172" t="s">
        <v>694</v>
      </c>
      <c r="E20" s="1071">
        <f>SUM(E22:E24)</f>
        <v>2000000</v>
      </c>
      <c r="F20" s="1071">
        <f t="shared" ref="F20:P20" si="6">SUM(F22:F24)</f>
        <v>500000</v>
      </c>
      <c r="G20" s="1071">
        <f t="shared" si="6"/>
        <v>0</v>
      </c>
      <c r="H20" s="1071">
        <f t="shared" si="6"/>
        <v>2500000</v>
      </c>
      <c r="I20" s="1071">
        <f t="shared" si="6"/>
        <v>0</v>
      </c>
      <c r="J20" s="1071">
        <f t="shared" si="6"/>
        <v>-500000</v>
      </c>
      <c r="K20" s="1071">
        <f t="shared" si="6"/>
        <v>0</v>
      </c>
      <c r="L20" s="1071">
        <f t="shared" si="6"/>
        <v>-500000</v>
      </c>
      <c r="M20" s="1071">
        <f t="shared" si="6"/>
        <v>2000000</v>
      </c>
      <c r="N20" s="1071">
        <f t="shared" si="6"/>
        <v>0</v>
      </c>
      <c r="O20" s="1071">
        <f t="shared" si="6"/>
        <v>0</v>
      </c>
      <c r="P20" s="1071">
        <f t="shared" si="6"/>
        <v>2000000</v>
      </c>
    </row>
    <row r="21" spans="1:17" s="177" customFormat="1" ht="70.900000000000006" customHeight="1" x14ac:dyDescent="0.2">
      <c r="A21" s="174">
        <v>2710000</v>
      </c>
      <c r="B21" s="174"/>
      <c r="C21" s="174"/>
      <c r="D21" s="172" t="s">
        <v>694</v>
      </c>
      <c r="E21" s="1071">
        <f>SUM(E22:E23)</f>
        <v>2000000</v>
      </c>
      <c r="F21" s="1071">
        <f t="shared" ref="F21:P21" si="7">SUM(F22:F23)</f>
        <v>500000</v>
      </c>
      <c r="G21" s="1071">
        <f t="shared" si="7"/>
        <v>0</v>
      </c>
      <c r="H21" s="1071">
        <f t="shared" si="7"/>
        <v>2500000</v>
      </c>
      <c r="I21" s="1071">
        <f t="shared" si="7"/>
        <v>0</v>
      </c>
      <c r="J21" s="1071">
        <f t="shared" si="7"/>
        <v>-500000</v>
      </c>
      <c r="K21" s="1071">
        <f t="shared" si="7"/>
        <v>0</v>
      </c>
      <c r="L21" s="1071">
        <f t="shared" si="7"/>
        <v>-500000</v>
      </c>
      <c r="M21" s="1071">
        <f t="shared" si="7"/>
        <v>2000000</v>
      </c>
      <c r="N21" s="1071">
        <f t="shared" si="7"/>
        <v>0</v>
      </c>
      <c r="O21" s="1071">
        <f t="shared" si="7"/>
        <v>0</v>
      </c>
      <c r="P21" s="1071">
        <f t="shared" si="7"/>
        <v>2000000</v>
      </c>
    </row>
    <row r="22" spans="1:17" s="193" customFormat="1" ht="47.25" x14ac:dyDescent="0.2">
      <c r="A22" s="190">
        <v>2718831</v>
      </c>
      <c r="B22" s="190">
        <v>8831</v>
      </c>
      <c r="C22" s="190">
        <v>1060</v>
      </c>
      <c r="D22" s="191" t="s">
        <v>792</v>
      </c>
      <c r="E22" s="1073">
        <v>2000000</v>
      </c>
      <c r="F22" s="1073">
        <v>500000</v>
      </c>
      <c r="G22" s="1073"/>
      <c r="H22" s="1073">
        <f t="shared" si="2"/>
        <v>2500000</v>
      </c>
      <c r="I22" s="1073"/>
      <c r="J22" s="1074"/>
      <c r="K22" s="1074"/>
      <c r="L22" s="1073">
        <f t="shared" si="3"/>
        <v>0</v>
      </c>
      <c r="M22" s="1075">
        <f t="shared" si="4"/>
        <v>2000000</v>
      </c>
      <c r="N22" s="1075">
        <f>F22+J22</f>
        <v>500000</v>
      </c>
      <c r="O22" s="1075">
        <f>G22+K22</f>
        <v>0</v>
      </c>
      <c r="P22" s="1075">
        <f t="shared" si="5"/>
        <v>2500000</v>
      </c>
    </row>
    <row r="23" spans="1:17" s="193" customFormat="1" ht="47.25" x14ac:dyDescent="0.2">
      <c r="A23" s="190">
        <v>2718832</v>
      </c>
      <c r="B23" s="190">
        <v>8832</v>
      </c>
      <c r="C23" s="190">
        <v>1060</v>
      </c>
      <c r="D23" s="191" t="s">
        <v>793</v>
      </c>
      <c r="E23" s="1073"/>
      <c r="F23" s="1073"/>
      <c r="G23" s="1073"/>
      <c r="H23" s="1073">
        <f t="shared" si="2"/>
        <v>0</v>
      </c>
      <c r="I23" s="1073"/>
      <c r="J23" s="1074">
        <v>-500000</v>
      </c>
      <c r="K23" s="1074"/>
      <c r="L23" s="1073">
        <f t="shared" si="3"/>
        <v>-500000</v>
      </c>
      <c r="M23" s="1075">
        <f t="shared" si="4"/>
        <v>0</v>
      </c>
      <c r="N23" s="1075">
        <f>F23+J23</f>
        <v>-500000</v>
      </c>
      <c r="O23" s="1075">
        <f>G23+K23</f>
        <v>0</v>
      </c>
      <c r="P23" s="1075">
        <f t="shared" si="5"/>
        <v>-500000</v>
      </c>
    </row>
    <row r="24" spans="1:17" ht="15.75" hidden="1" customHeight="1" x14ac:dyDescent="0.2">
      <c r="A24" s="43"/>
      <c r="B24" s="43"/>
      <c r="C24" s="43"/>
      <c r="D24" s="39"/>
      <c r="E24" s="1077">
        <f>+F24+H24</f>
        <v>0</v>
      </c>
      <c r="F24" s="1077"/>
      <c r="G24" s="1077"/>
      <c r="H24" s="1077"/>
      <c r="I24" s="1077"/>
      <c r="J24" s="1078"/>
      <c r="K24" s="1078"/>
      <c r="L24" s="1078"/>
      <c r="M24" s="1078"/>
      <c r="N24" s="1075">
        <f>F24+J24</f>
        <v>0</v>
      </c>
      <c r="O24" s="1078"/>
      <c r="P24" s="1078"/>
    </row>
    <row r="25" spans="1:17" s="1" customFormat="1" ht="15.75" x14ac:dyDescent="0.2">
      <c r="A25" s="46" t="s">
        <v>746</v>
      </c>
      <c r="B25" s="46" t="s">
        <v>746</v>
      </c>
      <c r="C25" s="46" t="s">
        <v>746</v>
      </c>
      <c r="D25" s="49" t="s">
        <v>753</v>
      </c>
      <c r="E25" s="1076">
        <f>E13+E20+E17</f>
        <v>2826300</v>
      </c>
      <c r="F25" s="1076">
        <f>F13+F20+F17</f>
        <v>1106818</v>
      </c>
      <c r="G25" s="1076"/>
      <c r="H25" s="1076">
        <f>H13+H20+H17</f>
        <v>3933118</v>
      </c>
      <c r="I25" s="1076">
        <f>I13+I20+I17</f>
        <v>0</v>
      </c>
      <c r="J25" s="1076">
        <f>J13+J20+J17</f>
        <v>-882000</v>
      </c>
      <c r="K25" s="1076"/>
      <c r="L25" s="1076">
        <f>L13+L20+L17</f>
        <v>-882000</v>
      </c>
      <c r="M25" s="1076">
        <f>M13+M20+M17</f>
        <v>2826300</v>
      </c>
      <c r="N25" s="1076">
        <f>N13+N20+N17</f>
        <v>224818</v>
      </c>
      <c r="O25" s="1076"/>
      <c r="P25" s="1076">
        <f>P13+P20+P17</f>
        <v>3051118</v>
      </c>
    </row>
    <row r="26" spans="1:17" ht="36.75" customHeight="1" x14ac:dyDescent="0.25">
      <c r="A26" s="5"/>
      <c r="B26" s="5"/>
      <c r="C26" s="5"/>
      <c r="D26" s="6"/>
      <c r="E26" s="7"/>
      <c r="F26" s="8"/>
      <c r="G26" s="8"/>
      <c r="H26" s="8"/>
      <c r="I26" s="8"/>
      <c r="J26" s="8"/>
      <c r="K26" s="8"/>
      <c r="L26" s="8"/>
      <c r="M26" s="8"/>
      <c r="N26" s="8"/>
      <c r="O26" s="8"/>
      <c r="P26" s="8"/>
    </row>
    <row r="27" spans="1:17" ht="24.95" customHeight="1" x14ac:dyDescent="0.3">
      <c r="A27" s="128" t="s">
        <v>174</v>
      </c>
      <c r="B27" s="55"/>
      <c r="C27" s="55"/>
      <c r="E27" s="128"/>
      <c r="F27" s="129"/>
      <c r="G27" s="130"/>
      <c r="I27" s="38"/>
      <c r="J27" s="14"/>
      <c r="K27" s="128" t="s">
        <v>1171</v>
      </c>
      <c r="L27" s="12"/>
      <c r="M27" s="14"/>
      <c r="N27" s="27"/>
      <c r="O27" s="37"/>
      <c r="P27" s="8"/>
    </row>
    <row r="28" spans="1:17" ht="18.75" hidden="1" x14ac:dyDescent="0.3">
      <c r="A28" s="4"/>
      <c r="B28" s="4"/>
      <c r="C28" s="4"/>
      <c r="D28" s="33"/>
      <c r="E28" s="33"/>
      <c r="F28" s="33"/>
      <c r="G28" s="33"/>
      <c r="H28" s="33"/>
      <c r="I28" s="33"/>
      <c r="J28" s="14"/>
      <c r="K28" s="14"/>
      <c r="L28" s="37"/>
      <c r="M28" s="37"/>
      <c r="N28" s="11"/>
    </row>
    <row r="29" spans="1:17" hidden="1" x14ac:dyDescent="0.2"/>
    <row r="30" spans="1:17" hidden="1" x14ac:dyDescent="0.2"/>
    <row r="31" spans="1:17" hidden="1" x14ac:dyDescent="0.2"/>
    <row r="32" spans="1:17" hidden="1" x14ac:dyDescent="0.2">
      <c r="D32" s="18" t="s">
        <v>744</v>
      </c>
      <c r="E32" s="18">
        <v>2826300</v>
      </c>
      <c r="F32" s="18">
        <v>860400</v>
      </c>
      <c r="G32" s="18"/>
      <c r="H32" s="18">
        <v>3686700</v>
      </c>
      <c r="I32" s="18">
        <v>0</v>
      </c>
      <c r="J32" s="18">
        <v>-882000</v>
      </c>
      <c r="K32" s="18"/>
      <c r="L32" s="18">
        <v>-882000</v>
      </c>
      <c r="M32" s="18">
        <v>2826300</v>
      </c>
      <c r="N32" s="18">
        <v>-21600</v>
      </c>
      <c r="O32" s="18"/>
      <c r="P32" s="18">
        <v>2804700</v>
      </c>
    </row>
    <row r="33" spans="4:16" hidden="1" x14ac:dyDescent="0.2">
      <c r="D33" s="18"/>
      <c r="E33" s="69">
        <f>E32-E25</f>
        <v>0</v>
      </c>
      <c r="F33" s="69">
        <f t="shared" ref="F33:P33" si="8">F32-F25</f>
        <v>-246418</v>
      </c>
      <c r="G33" s="69">
        <f t="shared" si="8"/>
        <v>0</v>
      </c>
      <c r="H33" s="69">
        <f t="shared" si="8"/>
        <v>-246418</v>
      </c>
      <c r="I33" s="69">
        <f t="shared" si="8"/>
        <v>0</v>
      </c>
      <c r="J33" s="69">
        <f t="shared" si="8"/>
        <v>0</v>
      </c>
      <c r="K33" s="69">
        <f t="shared" si="8"/>
        <v>0</v>
      </c>
      <c r="L33" s="69">
        <f t="shared" si="8"/>
        <v>0</v>
      </c>
      <c r="M33" s="69">
        <f t="shared" si="8"/>
        <v>0</v>
      </c>
      <c r="N33" s="69">
        <f t="shared" si="8"/>
        <v>-246418</v>
      </c>
      <c r="O33" s="69">
        <f t="shared" si="8"/>
        <v>0</v>
      </c>
      <c r="P33" s="69">
        <f t="shared" si="8"/>
        <v>-246418</v>
      </c>
    </row>
    <row r="34" spans="4:16" hidden="1" x14ac:dyDescent="0.2"/>
    <row r="35" spans="4:16" hidden="1" x14ac:dyDescent="0.2"/>
    <row r="36" spans="4:16" hidden="1" x14ac:dyDescent="0.2"/>
    <row r="37" spans="4:16" hidden="1" x14ac:dyDescent="0.2"/>
    <row r="38" spans="4:16" hidden="1" x14ac:dyDescent="0.2"/>
    <row r="39" spans="4:16" hidden="1" x14ac:dyDescent="0.2"/>
    <row r="40" spans="4:16" hidden="1" x14ac:dyDescent="0.2"/>
    <row r="41" spans="4:16" hidden="1" x14ac:dyDescent="0.2"/>
    <row r="42" spans="4:16" hidden="1" x14ac:dyDescent="0.2"/>
    <row r="43" spans="4:16" hidden="1" x14ac:dyDescent="0.2"/>
    <row r="44" spans="4:16" hidden="1" x14ac:dyDescent="0.2"/>
    <row r="45" spans="4:16" hidden="1" x14ac:dyDescent="0.2"/>
    <row r="46" spans="4:16" hidden="1" x14ac:dyDescent="0.2"/>
    <row r="47" spans="4:16" hidden="1" x14ac:dyDescent="0.2"/>
    <row r="48" spans="4: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mergeCells count="28">
    <mergeCell ref="C7:C11"/>
    <mergeCell ref="E8:E11"/>
    <mergeCell ref="D7:D11"/>
    <mergeCell ref="A7:A11"/>
    <mergeCell ref="B7:B11"/>
    <mergeCell ref="J9:J11"/>
    <mergeCell ref="I7:L7"/>
    <mergeCell ref="L8:L11"/>
    <mergeCell ref="E7:H7"/>
    <mergeCell ref="F8:G8"/>
    <mergeCell ref="F9:F11"/>
    <mergeCell ref="J8:K8"/>
    <mergeCell ref="O9:O11"/>
    <mergeCell ref="M8:M11"/>
    <mergeCell ref="K9:K11"/>
    <mergeCell ref="G9:G11"/>
    <mergeCell ref="H8:H11"/>
    <mergeCell ref="I8:I11"/>
    <mergeCell ref="A5:B5"/>
    <mergeCell ref="A6:B6"/>
    <mergeCell ref="N8:O8"/>
    <mergeCell ref="N9:N11"/>
    <mergeCell ref="M1:P1"/>
    <mergeCell ref="A4:P4"/>
    <mergeCell ref="M3:P3"/>
    <mergeCell ref="M2:P2"/>
    <mergeCell ref="M7:P7"/>
    <mergeCell ref="P8:P11"/>
  </mergeCells>
  <phoneticPr fontId="0" type="noConversion"/>
  <printOptions horizontalCentered="1"/>
  <pageMargins left="0.39370078740157483" right="0" top="0.17" bottom="0.17" header="0.51181102362204722" footer="0.39370078740157483"/>
  <pageSetup paperSize="9"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J396"/>
  <sheetViews>
    <sheetView view="pageBreakPreview" zoomScale="70" zoomScaleNormal="100" zoomScaleSheetLayoutView="70" workbookViewId="0">
      <pane xSplit="2" ySplit="10" topLeftCell="C332" activePane="bottomRight" state="frozen"/>
      <selection pane="topRight" activeCell="C1" sqref="C1"/>
      <selection pane="bottomLeft" activeCell="A11" sqref="A11"/>
      <selection pane="bottomRight" activeCell="D2" sqref="D1:K65536"/>
    </sheetView>
  </sheetViews>
  <sheetFormatPr defaultRowHeight="18" x14ac:dyDescent="0.25"/>
  <cols>
    <col min="1" max="1" width="18.28515625" style="731" customWidth="1"/>
    <col min="2" max="2" width="66.28515625" style="742" customWidth="1"/>
    <col min="3" max="3" width="29" style="302" customWidth="1"/>
    <col min="4" max="4" width="19.7109375" style="302" hidden="1" customWidth="1"/>
    <col min="5" max="5" width="14.7109375" style="302" hidden="1" customWidth="1"/>
    <col min="6" max="6" width="0" style="302" hidden="1" customWidth="1"/>
    <col min="7" max="7" width="24.28515625" style="824" hidden="1" customWidth="1"/>
    <col min="8" max="8" width="20.42578125" style="302" hidden="1" customWidth="1"/>
    <col min="9" max="9" width="20.7109375" style="302" hidden="1" customWidth="1"/>
    <col min="10" max="11" width="0" style="302" hidden="1" customWidth="1"/>
    <col min="12" max="16384" width="9.140625" style="302"/>
  </cols>
  <sheetData>
    <row r="1" spans="1:7" ht="18.75" x14ac:dyDescent="0.3">
      <c r="C1" s="1717" t="s">
        <v>236</v>
      </c>
      <c r="D1" s="1717"/>
      <c r="E1" s="1717">
        <v>1</v>
      </c>
      <c r="F1" s="1717"/>
    </row>
    <row r="2" spans="1:7" ht="18.75" x14ac:dyDescent="0.3">
      <c r="C2" s="25" t="s">
        <v>274</v>
      </c>
      <c r="D2" s="25"/>
      <c r="E2" s="25">
        <v>1</v>
      </c>
      <c r="F2" s="25"/>
    </row>
    <row r="3" spans="1:7" ht="18.75" x14ac:dyDescent="0.3">
      <c r="C3" s="502" t="s">
        <v>1417</v>
      </c>
      <c r="D3" s="502"/>
      <c r="E3" s="25">
        <v>1</v>
      </c>
      <c r="F3" s="25"/>
    </row>
    <row r="4" spans="1:7" ht="18.75" x14ac:dyDescent="0.25">
      <c r="B4" s="732" t="s">
        <v>1052</v>
      </c>
      <c r="E4" s="302">
        <v>1</v>
      </c>
    </row>
    <row r="5" spans="1:7" ht="18.75" x14ac:dyDescent="0.25">
      <c r="B5" s="733"/>
      <c r="E5" s="302">
        <v>1</v>
      </c>
    </row>
    <row r="6" spans="1:7" ht="18.75" x14ac:dyDescent="0.25">
      <c r="A6" s="734" t="s">
        <v>855</v>
      </c>
      <c r="E6" s="302">
        <v>1</v>
      </c>
    </row>
    <row r="7" spans="1:7" x14ac:dyDescent="0.25">
      <c r="A7" s="735" t="s">
        <v>856</v>
      </c>
      <c r="E7" s="302">
        <v>1</v>
      </c>
    </row>
    <row r="8" spans="1:7" ht="18.75" x14ac:dyDescent="0.25">
      <c r="A8" s="1727" t="s">
        <v>1056</v>
      </c>
      <c r="B8" s="1727"/>
      <c r="C8" s="1727"/>
      <c r="D8" s="736"/>
      <c r="E8" s="302">
        <v>1</v>
      </c>
    </row>
    <row r="9" spans="1:7" ht="18.75" x14ac:dyDescent="0.25">
      <c r="A9" s="736"/>
      <c r="B9" s="736"/>
      <c r="C9" s="737" t="s">
        <v>737</v>
      </c>
      <c r="E9" s="302">
        <v>1</v>
      </c>
    </row>
    <row r="10" spans="1:7" s="738" customFormat="1" ht="47.25" x14ac:dyDescent="0.25">
      <c r="A10" s="573" t="s">
        <v>1057</v>
      </c>
      <c r="B10" s="573" t="s">
        <v>1058</v>
      </c>
      <c r="C10" s="573" t="s">
        <v>739</v>
      </c>
      <c r="D10" s="573" t="s">
        <v>1067</v>
      </c>
      <c r="E10" s="738">
        <v>1</v>
      </c>
      <c r="G10" s="825"/>
    </row>
    <row r="11" spans="1:7" s="738" customFormat="1" ht="18.75" customHeight="1" x14ac:dyDescent="0.25">
      <c r="A11" s="573">
        <v>1</v>
      </c>
      <c r="B11" s="739">
        <v>2</v>
      </c>
      <c r="C11" s="739">
        <v>3</v>
      </c>
      <c r="D11" s="751"/>
      <c r="E11" s="738">
        <v>1</v>
      </c>
      <c r="G11" s="825"/>
    </row>
    <row r="12" spans="1:7" s="738" customFormat="1" ht="32.25" customHeight="1" x14ac:dyDescent="0.25">
      <c r="A12" s="1068"/>
      <c r="B12" s="1068" t="s">
        <v>1059</v>
      </c>
      <c r="C12" s="1070"/>
      <c r="D12" s="904"/>
      <c r="E12" s="738">
        <v>1</v>
      </c>
      <c r="G12" s="825"/>
    </row>
    <row r="13" spans="1:7" s="738" customFormat="1" ht="18" customHeight="1" x14ac:dyDescent="0.25">
      <c r="A13" s="779">
        <v>41020100</v>
      </c>
      <c r="B13" s="780" t="s">
        <v>157</v>
      </c>
      <c r="C13" s="1343">
        <f>C14</f>
        <v>57297400</v>
      </c>
      <c r="D13" s="781"/>
      <c r="E13" s="760">
        <f t="shared" ref="E13:E92" si="0">C13</f>
        <v>57297400</v>
      </c>
      <c r="G13" s="825" t="b">
        <f>C13=дод1!D98</f>
        <v>1</v>
      </c>
    </row>
    <row r="14" spans="1:7" s="738" customFormat="1" ht="18" customHeight="1" x14ac:dyDescent="0.25">
      <c r="A14" s="751">
        <v>99000000000</v>
      </c>
      <c r="B14" s="740" t="s">
        <v>159</v>
      </c>
      <c r="C14" s="1344">
        <v>57297400</v>
      </c>
      <c r="D14" s="741"/>
      <c r="E14" s="760">
        <f t="shared" si="0"/>
        <v>57297400</v>
      </c>
      <c r="G14" s="825"/>
    </row>
    <row r="15" spans="1:7" s="738" customFormat="1" ht="81.75" customHeight="1" x14ac:dyDescent="0.25">
      <c r="A15" s="779">
        <v>41020200</v>
      </c>
      <c r="B15" s="780" t="s">
        <v>52</v>
      </c>
      <c r="C15" s="1343">
        <f>C16</f>
        <v>224980000</v>
      </c>
      <c r="D15" s="781"/>
      <c r="E15" s="760">
        <f t="shared" si="0"/>
        <v>224980000</v>
      </c>
      <c r="G15" s="825" t="b">
        <f>C15=дод1!D109</f>
        <v>1</v>
      </c>
    </row>
    <row r="16" spans="1:7" s="738" customFormat="1" ht="18" customHeight="1" x14ac:dyDescent="0.25">
      <c r="A16" s="751">
        <v>99000000000</v>
      </c>
      <c r="B16" s="740" t="s">
        <v>159</v>
      </c>
      <c r="C16" s="1344">
        <v>224980000</v>
      </c>
      <c r="D16" s="741"/>
      <c r="E16" s="760">
        <f t="shared" si="0"/>
        <v>224980000</v>
      </c>
      <c r="G16" s="825"/>
    </row>
    <row r="17" spans="1:7" s="738" customFormat="1" ht="357.6" customHeight="1" x14ac:dyDescent="0.25">
      <c r="A17" s="779">
        <v>41030500</v>
      </c>
      <c r="B17" s="780" t="s">
        <v>1865</v>
      </c>
      <c r="C17" s="1343">
        <f>C18</f>
        <v>1328900</v>
      </c>
      <c r="D17" s="781"/>
      <c r="E17" s="760">
        <f t="shared" si="0"/>
        <v>1328900</v>
      </c>
      <c r="G17" s="825" t="b">
        <f>C17=дод1!D113</f>
        <v>1</v>
      </c>
    </row>
    <row r="18" spans="1:7" s="738" customFormat="1" ht="18" customHeight="1" x14ac:dyDescent="0.25">
      <c r="A18" s="751">
        <v>99000000000</v>
      </c>
      <c r="B18" s="740" t="s">
        <v>159</v>
      </c>
      <c r="C18" s="1344">
        <v>1328900</v>
      </c>
      <c r="D18" s="741"/>
      <c r="E18" s="760">
        <f t="shared" si="0"/>
        <v>1328900</v>
      </c>
      <c r="G18" s="825"/>
    </row>
    <row r="19" spans="1:7" s="738" customFormat="1" ht="56.25" x14ac:dyDescent="0.25">
      <c r="A19" s="779">
        <v>41032300</v>
      </c>
      <c r="B19" s="780" t="s">
        <v>1919</v>
      </c>
      <c r="C19" s="1343">
        <v>16500000</v>
      </c>
      <c r="D19" s="781"/>
      <c r="E19" s="760">
        <f t="shared" si="0"/>
        <v>16500000</v>
      </c>
      <c r="G19" s="825"/>
    </row>
    <row r="20" spans="1:7" s="738" customFormat="1" ht="18" customHeight="1" x14ac:dyDescent="0.25">
      <c r="A20" s="751">
        <v>99000000000</v>
      </c>
      <c r="B20" s="740" t="s">
        <v>159</v>
      </c>
      <c r="C20" s="1372">
        <v>16500000</v>
      </c>
      <c r="D20" s="620"/>
      <c r="E20" s="760">
        <f t="shared" si="0"/>
        <v>16500000</v>
      </c>
      <c r="G20" s="825"/>
    </row>
    <row r="21" spans="1:7" s="738" customFormat="1" ht="56.25" x14ac:dyDescent="0.25">
      <c r="A21" s="779">
        <v>41033800</v>
      </c>
      <c r="B21" s="780" t="s">
        <v>1030</v>
      </c>
      <c r="C21" s="1343">
        <v>4900000</v>
      </c>
      <c r="D21" s="781"/>
      <c r="E21" s="760">
        <f t="shared" si="0"/>
        <v>4900000</v>
      </c>
      <c r="G21" s="825"/>
    </row>
    <row r="22" spans="1:7" s="738" customFormat="1" ht="18" customHeight="1" x14ac:dyDescent="0.25">
      <c r="A22" s="751">
        <v>99000000000</v>
      </c>
      <c r="B22" s="740" t="s">
        <v>159</v>
      </c>
      <c r="C22" s="1372">
        <v>4900000</v>
      </c>
      <c r="D22" s="620"/>
      <c r="E22" s="760">
        <f t="shared" si="0"/>
        <v>4900000</v>
      </c>
      <c r="G22" s="825"/>
    </row>
    <row r="23" spans="1:7" s="738" customFormat="1" ht="37.5" x14ac:dyDescent="0.25">
      <c r="A23" s="779">
        <v>41033900</v>
      </c>
      <c r="B23" s="780" t="s">
        <v>191</v>
      </c>
      <c r="C23" s="1343">
        <f>C24</f>
        <v>291872200</v>
      </c>
      <c r="D23" s="781"/>
      <c r="E23" s="760">
        <f t="shared" si="0"/>
        <v>291872200</v>
      </c>
      <c r="G23" s="825" t="b">
        <f>C23=дод1!D134</f>
        <v>1</v>
      </c>
    </row>
    <row r="24" spans="1:7" s="738" customFormat="1" ht="18" customHeight="1" x14ac:dyDescent="0.25">
      <c r="A24" s="751">
        <v>99000000000</v>
      </c>
      <c r="B24" s="740" t="s">
        <v>159</v>
      </c>
      <c r="C24" s="1344">
        <v>291872200</v>
      </c>
      <c r="D24" s="741"/>
      <c r="E24" s="760">
        <f t="shared" si="0"/>
        <v>291872200</v>
      </c>
      <c r="G24" s="825"/>
    </row>
    <row r="25" spans="1:7" s="738" customFormat="1" ht="81.75" customHeight="1" x14ac:dyDescent="0.25">
      <c r="A25" s="779">
        <v>41034500</v>
      </c>
      <c r="B25" s="780" t="s">
        <v>31</v>
      </c>
      <c r="C25" s="1343">
        <f>C26</f>
        <v>14556081</v>
      </c>
      <c r="D25" s="781"/>
      <c r="E25" s="760">
        <f t="shared" si="0"/>
        <v>14556081</v>
      </c>
      <c r="G25" s="825" t="b">
        <f>C25=дод1!D138</f>
        <v>1</v>
      </c>
    </row>
    <row r="26" spans="1:7" s="738" customFormat="1" ht="18" customHeight="1" x14ac:dyDescent="0.25">
      <c r="A26" s="751">
        <v>99000000000</v>
      </c>
      <c r="B26" s="740" t="s">
        <v>159</v>
      </c>
      <c r="C26" s="1344">
        <f>дод1!D138</f>
        <v>14556081</v>
      </c>
      <c r="D26" s="741"/>
      <c r="E26" s="760">
        <f t="shared" si="0"/>
        <v>14556081</v>
      </c>
      <c r="G26" s="825"/>
    </row>
    <row r="27" spans="1:7" s="738" customFormat="1" ht="60.75" customHeight="1" x14ac:dyDescent="0.25">
      <c r="A27" s="779">
        <v>41035300</v>
      </c>
      <c r="B27" s="780" t="s">
        <v>1920</v>
      </c>
      <c r="C27" s="1343">
        <v>3386260</v>
      </c>
      <c r="D27" s="781"/>
      <c r="E27" s="760">
        <f t="shared" si="0"/>
        <v>3386260</v>
      </c>
      <c r="G27" s="825"/>
    </row>
    <row r="28" spans="1:7" s="738" customFormat="1" ht="18" customHeight="1" x14ac:dyDescent="0.25">
      <c r="A28" s="751">
        <v>99000000000</v>
      </c>
      <c r="B28" s="740" t="s">
        <v>159</v>
      </c>
      <c r="C28" s="1372">
        <v>3386260</v>
      </c>
      <c r="D28" s="741"/>
      <c r="E28" s="760">
        <f t="shared" si="0"/>
        <v>3386260</v>
      </c>
      <c r="G28" s="825"/>
    </row>
    <row r="29" spans="1:7" s="738" customFormat="1" ht="60.75" customHeight="1" x14ac:dyDescent="0.25">
      <c r="A29" s="779">
        <v>41035400</v>
      </c>
      <c r="B29" s="780" t="s">
        <v>89</v>
      </c>
      <c r="C29" s="1343">
        <f>C30</f>
        <v>21231900</v>
      </c>
      <c r="D29" s="781"/>
      <c r="E29" s="760">
        <f t="shared" si="0"/>
        <v>21231900</v>
      </c>
      <c r="G29" s="825" t="b">
        <f>C29=дод1!D142</f>
        <v>1</v>
      </c>
    </row>
    <row r="30" spans="1:7" s="738" customFormat="1" ht="18" customHeight="1" x14ac:dyDescent="0.25">
      <c r="A30" s="751">
        <v>99000000000</v>
      </c>
      <c r="B30" s="740" t="s">
        <v>159</v>
      </c>
      <c r="C30" s="1344">
        <v>21231900</v>
      </c>
      <c r="D30" s="741"/>
      <c r="E30" s="760">
        <f t="shared" si="0"/>
        <v>21231900</v>
      </c>
      <c r="G30" s="825"/>
    </row>
    <row r="31" spans="1:7" s="738" customFormat="1" ht="106.9" customHeight="1" x14ac:dyDescent="0.25">
      <c r="A31" s="779">
        <v>41033000</v>
      </c>
      <c r="B31" s="780" t="s">
        <v>1000</v>
      </c>
      <c r="C31" s="1343">
        <f>C32</f>
        <v>135771400</v>
      </c>
      <c r="D31" s="781"/>
      <c r="E31" s="760">
        <f t="shared" si="0"/>
        <v>135771400</v>
      </c>
      <c r="G31" s="825" t="b">
        <f>C31=дод1!D127</f>
        <v>1</v>
      </c>
    </row>
    <row r="32" spans="1:7" s="738" customFormat="1" ht="18" customHeight="1" x14ac:dyDescent="0.25">
      <c r="A32" s="751">
        <v>99000000000</v>
      </c>
      <c r="B32" s="740" t="s">
        <v>159</v>
      </c>
      <c r="C32" s="1344">
        <f>дод1!D127</f>
        <v>135771400</v>
      </c>
      <c r="D32" s="741"/>
      <c r="E32" s="760">
        <f t="shared" si="0"/>
        <v>135771400</v>
      </c>
      <c r="G32" s="825"/>
    </row>
    <row r="33" spans="1:10" s="738" customFormat="1" ht="138" customHeight="1" x14ac:dyDescent="0.25">
      <c r="A33" s="779">
        <v>41034400</v>
      </c>
      <c r="B33" s="780" t="s">
        <v>730</v>
      </c>
      <c r="C33" s="1343">
        <f>C34</f>
        <v>26243800</v>
      </c>
      <c r="D33" s="781"/>
      <c r="E33" s="760">
        <f t="shared" si="0"/>
        <v>26243800</v>
      </c>
      <c r="G33" s="825" t="b">
        <f>C33=дод1!D137</f>
        <v>1</v>
      </c>
    </row>
    <row r="34" spans="1:10" s="738" customFormat="1" ht="18" customHeight="1" x14ac:dyDescent="0.25">
      <c r="A34" s="751">
        <v>99000000000</v>
      </c>
      <c r="B34" s="740" t="s">
        <v>159</v>
      </c>
      <c r="C34" s="1344">
        <v>26243800</v>
      </c>
      <c r="D34" s="741"/>
      <c r="E34" s="760">
        <f t="shared" si="0"/>
        <v>26243800</v>
      </c>
      <c r="G34" s="825"/>
    </row>
    <row r="35" spans="1:10" s="1025" customFormat="1" ht="138" customHeight="1" x14ac:dyDescent="0.25">
      <c r="A35" s="779">
        <v>41035900</v>
      </c>
      <c r="B35" s="780" t="s">
        <v>1452</v>
      </c>
      <c r="C35" s="1343">
        <f>C36</f>
        <v>33329300</v>
      </c>
      <c r="D35" s="781"/>
      <c r="E35" s="760">
        <f t="shared" si="0"/>
        <v>33329300</v>
      </c>
      <c r="G35" s="825" t="b">
        <f>C35=дод1!D144</f>
        <v>1</v>
      </c>
    </row>
    <row r="36" spans="1:10" s="738" customFormat="1" ht="18" customHeight="1" x14ac:dyDescent="0.25">
      <c r="A36" s="751">
        <v>99000000000</v>
      </c>
      <c r="B36" s="740" t="s">
        <v>159</v>
      </c>
      <c r="C36" s="1344">
        <v>33329300</v>
      </c>
      <c r="D36" s="741"/>
      <c r="E36" s="760">
        <f t="shared" si="0"/>
        <v>33329300</v>
      </c>
      <c r="G36" s="825"/>
    </row>
    <row r="37" spans="1:10" s="738" customFormat="1" ht="312.60000000000002" customHeight="1" x14ac:dyDescent="0.25">
      <c r="A37" s="779">
        <v>41036100</v>
      </c>
      <c r="B37" s="780" t="s">
        <v>820</v>
      </c>
      <c r="C37" s="1343">
        <f>C38</f>
        <v>27734296</v>
      </c>
      <c r="D37" s="781"/>
      <c r="E37" s="760">
        <f t="shared" si="0"/>
        <v>27734296</v>
      </c>
      <c r="F37" s="1025"/>
      <c r="G37" s="825" t="b">
        <f>C37=дод1!D146</f>
        <v>1</v>
      </c>
    </row>
    <row r="38" spans="1:10" s="738" customFormat="1" ht="18" customHeight="1" x14ac:dyDescent="0.25">
      <c r="A38" s="751">
        <v>99000000000</v>
      </c>
      <c r="B38" s="740" t="s">
        <v>159</v>
      </c>
      <c r="C38" s="1344">
        <f>дод1!D146</f>
        <v>27734296</v>
      </c>
      <c r="D38" s="741"/>
      <c r="E38" s="760">
        <f t="shared" si="0"/>
        <v>27734296</v>
      </c>
      <c r="G38" s="825"/>
    </row>
    <row r="39" spans="1:10" s="738" customFormat="1" ht="262.5" x14ac:dyDescent="0.25">
      <c r="A39" s="779">
        <v>41036400</v>
      </c>
      <c r="B39" s="780" t="s">
        <v>1866</v>
      </c>
      <c r="C39" s="1343">
        <f>C40</f>
        <v>5199182</v>
      </c>
      <c r="D39" s="781"/>
      <c r="E39" s="760">
        <f t="shared" si="0"/>
        <v>5199182</v>
      </c>
      <c r="F39" s="1025"/>
      <c r="G39" s="825" t="b">
        <f>C39=дод1!D147</f>
        <v>1</v>
      </c>
    </row>
    <row r="40" spans="1:10" s="738" customFormat="1" ht="18" customHeight="1" x14ac:dyDescent="0.25">
      <c r="A40" s="751">
        <v>99000000000</v>
      </c>
      <c r="B40" s="740" t="s">
        <v>159</v>
      </c>
      <c r="C40" s="1344">
        <f>дод1!D147</f>
        <v>5199182</v>
      </c>
      <c r="D40" s="741"/>
      <c r="E40" s="760">
        <f t="shared" si="0"/>
        <v>5199182</v>
      </c>
      <c r="G40" s="825"/>
    </row>
    <row r="41" spans="1:10" s="738" customFormat="1" ht="56.25" x14ac:dyDescent="0.25">
      <c r="A41" s="779">
        <v>41037200</v>
      </c>
      <c r="B41" s="780" t="s">
        <v>695</v>
      </c>
      <c r="C41" s="1343">
        <f>C42</f>
        <v>54366900</v>
      </c>
      <c r="D41" s="1085"/>
      <c r="E41" s="760">
        <f t="shared" si="0"/>
        <v>54366900</v>
      </c>
      <c r="G41" s="825" t="b">
        <f>C41=дод1!D150</f>
        <v>1</v>
      </c>
    </row>
    <row r="42" spans="1:10" s="738" customFormat="1" ht="18" customHeight="1" x14ac:dyDescent="0.25">
      <c r="A42" s="751">
        <v>99000000000</v>
      </c>
      <c r="B42" s="740" t="s">
        <v>159</v>
      </c>
      <c r="C42" s="1344">
        <v>54366900</v>
      </c>
      <c r="D42" s="741"/>
      <c r="E42" s="760">
        <f t="shared" si="0"/>
        <v>54366900</v>
      </c>
      <c r="G42" s="825"/>
    </row>
    <row r="43" spans="1:10" s="738" customFormat="1" ht="77.45" customHeight="1" x14ac:dyDescent="0.25">
      <c r="A43" s="779">
        <v>41039100</v>
      </c>
      <c r="B43" s="780" t="s">
        <v>2261</v>
      </c>
      <c r="C43" s="1343">
        <f>C44</f>
        <v>9998000</v>
      </c>
      <c r="D43" s="1085"/>
      <c r="E43" s="760">
        <f t="shared" si="0"/>
        <v>9998000</v>
      </c>
      <c r="G43" s="1500">
        <f>дод1!D153</f>
        <v>9998000</v>
      </c>
    </row>
    <row r="44" spans="1:10" s="738" customFormat="1" ht="18" customHeight="1" x14ac:dyDescent="0.25">
      <c r="A44" s="751">
        <v>99000000000</v>
      </c>
      <c r="B44" s="740" t="s">
        <v>159</v>
      </c>
      <c r="C44" s="1344">
        <f>дод1!D153</f>
        <v>9998000</v>
      </c>
      <c r="D44" s="741"/>
      <c r="E44" s="760">
        <f t="shared" si="0"/>
        <v>9998000</v>
      </c>
      <c r="G44" s="825"/>
    </row>
    <row r="45" spans="1:10" s="738" customFormat="1" ht="99" customHeight="1" x14ac:dyDescent="0.25">
      <c r="A45" s="779">
        <v>41053500</v>
      </c>
      <c r="B45" s="780" t="s">
        <v>710</v>
      </c>
      <c r="C45" s="1343">
        <f>SUM(C46:C111)</f>
        <v>3270620</v>
      </c>
      <c r="D45" s="781"/>
      <c r="E45" s="760">
        <f t="shared" si="0"/>
        <v>3270620</v>
      </c>
      <c r="G45" s="825" t="b">
        <f>C45=дод1!D158</f>
        <v>1</v>
      </c>
      <c r="H45" s="823" t="s">
        <v>1212</v>
      </c>
      <c r="I45" s="823" t="s">
        <v>1213</v>
      </c>
      <c r="J45" s="823" t="s">
        <v>3</v>
      </c>
    </row>
    <row r="46" spans="1:10" s="301" customFormat="1" ht="18.75" x14ac:dyDescent="0.25">
      <c r="A46" s="751" t="s">
        <v>526</v>
      </c>
      <c r="B46" s="821" t="s">
        <v>1060</v>
      </c>
      <c r="C46" s="1345">
        <f>'дод1.1без змін'!D20</f>
        <v>3270620</v>
      </c>
      <c r="D46" s="822"/>
      <c r="E46" s="760">
        <f t="shared" si="0"/>
        <v>3270620</v>
      </c>
      <c r="G46" s="826"/>
      <c r="H46" s="822">
        <f>'дод1.1без змін'!C20</f>
        <v>3270620</v>
      </c>
      <c r="I46" s="822">
        <f t="shared" ref="I46:I77" si="1">C46+C190</f>
        <v>3270620</v>
      </c>
      <c r="J46" s="822" t="b">
        <f>I46=H46</f>
        <v>1</v>
      </c>
    </row>
    <row r="47" spans="1:10" s="301" customFormat="1" ht="18.75" hidden="1" x14ac:dyDescent="0.25">
      <c r="A47" s="751" t="s">
        <v>527</v>
      </c>
      <c r="B47" s="821" t="s">
        <v>1069</v>
      </c>
      <c r="C47" s="1345">
        <f>'дод1.1без змін'!D31</f>
        <v>0</v>
      </c>
      <c r="D47" s="822"/>
      <c r="E47" s="760">
        <f t="shared" si="0"/>
        <v>0</v>
      </c>
      <c r="G47" s="826"/>
      <c r="H47" s="822">
        <f>'дод1.1без змін'!C31</f>
        <v>0</v>
      </c>
      <c r="I47" s="822">
        <f t="shared" si="1"/>
        <v>0</v>
      </c>
      <c r="J47" s="822" t="b">
        <f t="shared" ref="J47:J110" si="2">I47=H47</f>
        <v>1</v>
      </c>
    </row>
    <row r="48" spans="1:10" s="301" customFormat="1" ht="18.75" hidden="1" x14ac:dyDescent="0.25">
      <c r="A48" s="751" t="s">
        <v>528</v>
      </c>
      <c r="B48" s="821" t="s">
        <v>1070</v>
      </c>
      <c r="C48" s="1345">
        <f>'дод1.1без змін'!D42</f>
        <v>0</v>
      </c>
      <c r="D48" s="822"/>
      <c r="E48" s="760">
        <f t="shared" si="0"/>
        <v>0</v>
      </c>
      <c r="G48" s="826"/>
      <c r="H48" s="822">
        <f>'дод1.1без змін'!C42</f>
        <v>0</v>
      </c>
      <c r="I48" s="822">
        <f t="shared" si="1"/>
        <v>0</v>
      </c>
      <c r="J48" s="822" t="b">
        <f t="shared" si="2"/>
        <v>1</v>
      </c>
    </row>
    <row r="49" spans="1:10" s="301" customFormat="1" ht="18.75" hidden="1" x14ac:dyDescent="0.25">
      <c r="A49" s="751" t="s">
        <v>529</v>
      </c>
      <c r="B49" s="821" t="s">
        <v>1071</v>
      </c>
      <c r="C49" s="1345">
        <f>'дод1.1без змін'!D53</f>
        <v>0</v>
      </c>
      <c r="D49" s="822"/>
      <c r="E49" s="760">
        <f t="shared" si="0"/>
        <v>0</v>
      </c>
      <c r="G49" s="826"/>
      <c r="H49" s="822">
        <f>'дод1.1без змін'!C53</f>
        <v>0</v>
      </c>
      <c r="I49" s="822">
        <f t="shared" si="1"/>
        <v>0</v>
      </c>
      <c r="J49" s="822" t="b">
        <f t="shared" si="2"/>
        <v>1</v>
      </c>
    </row>
    <row r="50" spans="1:10" s="301" customFormat="1" ht="18.75" hidden="1" x14ac:dyDescent="0.25">
      <c r="A50" s="751" t="s">
        <v>530</v>
      </c>
      <c r="B50" s="821" t="s">
        <v>1072</v>
      </c>
      <c r="C50" s="1345">
        <f>'дод1.1без змін'!D64</f>
        <v>0</v>
      </c>
      <c r="D50" s="822"/>
      <c r="E50" s="760">
        <f t="shared" si="0"/>
        <v>0</v>
      </c>
      <c r="G50" s="826"/>
      <c r="H50" s="822">
        <f>'дод1.1без змін'!C64</f>
        <v>0</v>
      </c>
      <c r="I50" s="822">
        <f t="shared" si="1"/>
        <v>0</v>
      </c>
      <c r="J50" s="822" t="b">
        <f t="shared" si="2"/>
        <v>1</v>
      </c>
    </row>
    <row r="51" spans="1:10" s="301" customFormat="1" ht="18.75" hidden="1" x14ac:dyDescent="0.25">
      <c r="A51" s="751" t="s">
        <v>531</v>
      </c>
      <c r="B51" s="821" t="s">
        <v>1073</v>
      </c>
      <c r="C51" s="1345">
        <f>'дод1.1без змін'!D75</f>
        <v>0</v>
      </c>
      <c r="D51" s="822"/>
      <c r="E51" s="760">
        <f t="shared" si="0"/>
        <v>0</v>
      </c>
      <c r="G51" s="826"/>
      <c r="H51" s="822">
        <f>'дод1.1без змін'!C75</f>
        <v>0</v>
      </c>
      <c r="I51" s="822">
        <f t="shared" si="1"/>
        <v>0</v>
      </c>
      <c r="J51" s="822" t="b">
        <f t="shared" si="2"/>
        <v>1</v>
      </c>
    </row>
    <row r="52" spans="1:10" s="301" customFormat="1" ht="18.75" hidden="1" x14ac:dyDescent="0.25">
      <c r="A52" s="751" t="s">
        <v>532</v>
      </c>
      <c r="B52" s="821" t="s">
        <v>1074</v>
      </c>
      <c r="C52" s="1345">
        <f>'дод1.1без змін'!D86</f>
        <v>0</v>
      </c>
      <c r="D52" s="822"/>
      <c r="E52" s="760">
        <f t="shared" si="0"/>
        <v>0</v>
      </c>
      <c r="G52" s="826"/>
      <c r="H52" s="822">
        <f>'дод1.1без змін'!C86</f>
        <v>0</v>
      </c>
      <c r="I52" s="822">
        <f t="shared" si="1"/>
        <v>0</v>
      </c>
      <c r="J52" s="822" t="b">
        <f t="shared" si="2"/>
        <v>1</v>
      </c>
    </row>
    <row r="53" spans="1:10" s="301" customFormat="1" ht="18.75" hidden="1" x14ac:dyDescent="0.25">
      <c r="A53" s="751" t="s">
        <v>533</v>
      </c>
      <c r="B53" s="821" t="s">
        <v>1075</v>
      </c>
      <c r="C53" s="1345">
        <f>'дод1.1без змін'!D97</f>
        <v>0</v>
      </c>
      <c r="D53" s="822"/>
      <c r="E53" s="760">
        <f t="shared" si="0"/>
        <v>0</v>
      </c>
      <c r="G53" s="826"/>
      <c r="H53" s="822">
        <f>'дод1.1без змін'!C97</f>
        <v>0</v>
      </c>
      <c r="I53" s="822">
        <f t="shared" si="1"/>
        <v>0</v>
      </c>
      <c r="J53" s="822" t="b">
        <f t="shared" si="2"/>
        <v>1</v>
      </c>
    </row>
    <row r="54" spans="1:10" s="301" customFormat="1" ht="18.75" hidden="1" x14ac:dyDescent="0.25">
      <c r="A54" s="751" t="s">
        <v>534</v>
      </c>
      <c r="B54" s="821" t="s">
        <v>1076</v>
      </c>
      <c r="C54" s="1345">
        <f>'дод1.1без змін'!D108</f>
        <v>0</v>
      </c>
      <c r="D54" s="822"/>
      <c r="E54" s="760">
        <f t="shared" si="0"/>
        <v>0</v>
      </c>
      <c r="G54" s="826"/>
      <c r="H54" s="822">
        <f>'дод1.1без змін'!C108</f>
        <v>0</v>
      </c>
      <c r="I54" s="822">
        <f t="shared" si="1"/>
        <v>0</v>
      </c>
      <c r="J54" s="822" t="b">
        <f t="shared" si="2"/>
        <v>1</v>
      </c>
    </row>
    <row r="55" spans="1:10" s="301" customFormat="1" ht="18.75" hidden="1" x14ac:dyDescent="0.25">
      <c r="A55" s="751" t="s">
        <v>535</v>
      </c>
      <c r="B55" s="821" t="s">
        <v>1077</v>
      </c>
      <c r="C55" s="1345">
        <f>'дод1.1без змін'!D119</f>
        <v>0</v>
      </c>
      <c r="D55" s="822"/>
      <c r="E55" s="760">
        <f t="shared" si="0"/>
        <v>0</v>
      </c>
      <c r="G55" s="826"/>
      <c r="H55" s="822">
        <f>'дод1.1без змін'!C119</f>
        <v>0</v>
      </c>
      <c r="I55" s="822">
        <f t="shared" si="1"/>
        <v>0</v>
      </c>
      <c r="J55" s="822" t="b">
        <f t="shared" si="2"/>
        <v>1</v>
      </c>
    </row>
    <row r="56" spans="1:10" s="301" customFormat="1" ht="18.75" hidden="1" x14ac:dyDescent="0.25">
      <c r="A56" s="751" t="s">
        <v>536</v>
      </c>
      <c r="B56" s="821" t="s">
        <v>1078</v>
      </c>
      <c r="C56" s="1345">
        <f>'дод1.1без змін'!D130</f>
        <v>0</v>
      </c>
      <c r="D56" s="822"/>
      <c r="E56" s="760">
        <f t="shared" si="0"/>
        <v>0</v>
      </c>
      <c r="G56" s="826"/>
      <c r="H56" s="822">
        <f>'дод1.1без змін'!C130</f>
        <v>0</v>
      </c>
      <c r="I56" s="822">
        <f t="shared" si="1"/>
        <v>0</v>
      </c>
      <c r="J56" s="822" t="b">
        <f t="shared" si="2"/>
        <v>1</v>
      </c>
    </row>
    <row r="57" spans="1:10" s="301" customFormat="1" ht="18.75" hidden="1" x14ac:dyDescent="0.25">
      <c r="A57" s="751" t="s">
        <v>537</v>
      </c>
      <c r="B57" s="821" t="s">
        <v>1079</v>
      </c>
      <c r="C57" s="1345">
        <f>'дод1.1без змін'!D141</f>
        <v>0</v>
      </c>
      <c r="D57" s="822"/>
      <c r="E57" s="760">
        <f t="shared" si="0"/>
        <v>0</v>
      </c>
      <c r="G57" s="826"/>
      <c r="H57" s="822">
        <f>'дод1.1без змін'!C141</f>
        <v>0</v>
      </c>
      <c r="I57" s="822">
        <f t="shared" si="1"/>
        <v>0</v>
      </c>
      <c r="J57" s="822" t="b">
        <f t="shared" si="2"/>
        <v>1</v>
      </c>
    </row>
    <row r="58" spans="1:10" s="301" customFormat="1" ht="18.75" hidden="1" x14ac:dyDescent="0.25">
      <c r="A58" s="751" t="s">
        <v>538</v>
      </c>
      <c r="B58" s="821" t="s">
        <v>1080</v>
      </c>
      <c r="C58" s="1345">
        <f>'дод1.1без змін'!D152</f>
        <v>0</v>
      </c>
      <c r="D58" s="822"/>
      <c r="E58" s="760">
        <f t="shared" si="0"/>
        <v>0</v>
      </c>
      <c r="G58" s="826"/>
      <c r="H58" s="822">
        <f>'дод1.1без змін'!C152</f>
        <v>0</v>
      </c>
      <c r="I58" s="822">
        <f t="shared" si="1"/>
        <v>0</v>
      </c>
      <c r="J58" s="822" t="b">
        <f t="shared" si="2"/>
        <v>1</v>
      </c>
    </row>
    <row r="59" spans="1:10" s="301" customFormat="1" ht="18.75" hidden="1" x14ac:dyDescent="0.25">
      <c r="A59" s="751" t="s">
        <v>539</v>
      </c>
      <c r="B59" s="821" t="s">
        <v>1081</v>
      </c>
      <c r="C59" s="1345">
        <f>'дод1.1без змін'!D163</f>
        <v>0</v>
      </c>
      <c r="D59" s="822"/>
      <c r="E59" s="760">
        <f t="shared" si="0"/>
        <v>0</v>
      </c>
      <c r="G59" s="826"/>
      <c r="H59" s="822">
        <f>'дод1.1без змін'!C163</f>
        <v>0</v>
      </c>
      <c r="I59" s="822">
        <f t="shared" si="1"/>
        <v>0</v>
      </c>
      <c r="J59" s="822" t="b">
        <f t="shared" si="2"/>
        <v>1</v>
      </c>
    </row>
    <row r="60" spans="1:10" s="301" customFormat="1" ht="18.75" hidden="1" x14ac:dyDescent="0.25">
      <c r="A60" s="751" t="s">
        <v>540</v>
      </c>
      <c r="B60" s="821" t="s">
        <v>1082</v>
      </c>
      <c r="C60" s="1345">
        <f>'дод1.1без змін'!D174</f>
        <v>0</v>
      </c>
      <c r="D60" s="822"/>
      <c r="E60" s="760">
        <f t="shared" si="0"/>
        <v>0</v>
      </c>
      <c r="G60" s="826"/>
      <c r="H60" s="822">
        <f>'дод1.1без змін'!C174</f>
        <v>0</v>
      </c>
      <c r="I60" s="822">
        <f t="shared" si="1"/>
        <v>0</v>
      </c>
      <c r="J60" s="822" t="b">
        <f t="shared" si="2"/>
        <v>1</v>
      </c>
    </row>
    <row r="61" spans="1:10" s="301" customFormat="1" ht="18.75" hidden="1" x14ac:dyDescent="0.25">
      <c r="A61" s="751" t="s">
        <v>541</v>
      </c>
      <c r="B61" s="821" t="s">
        <v>1083</v>
      </c>
      <c r="C61" s="1345">
        <f>'дод1.1без змін'!D185</f>
        <v>0</v>
      </c>
      <c r="D61" s="822"/>
      <c r="E61" s="760">
        <f t="shared" si="0"/>
        <v>0</v>
      </c>
      <c r="G61" s="826"/>
      <c r="H61" s="822">
        <f>'дод1.1без змін'!C185</f>
        <v>0</v>
      </c>
      <c r="I61" s="822">
        <f t="shared" si="1"/>
        <v>0</v>
      </c>
      <c r="J61" s="822" t="b">
        <f t="shared" si="2"/>
        <v>1</v>
      </c>
    </row>
    <row r="62" spans="1:10" s="301" customFormat="1" ht="18.75" hidden="1" x14ac:dyDescent="0.25">
      <c r="A62" s="751" t="s">
        <v>542</v>
      </c>
      <c r="B62" s="821" t="s">
        <v>1084</v>
      </c>
      <c r="C62" s="1345">
        <f>'дод1.1без змін'!D196</f>
        <v>0</v>
      </c>
      <c r="D62" s="822"/>
      <c r="E62" s="760">
        <f t="shared" si="0"/>
        <v>0</v>
      </c>
      <c r="G62" s="826"/>
      <c r="H62" s="822">
        <f>'дод1.1без змін'!C196</f>
        <v>0</v>
      </c>
      <c r="I62" s="822">
        <f t="shared" si="1"/>
        <v>0</v>
      </c>
      <c r="J62" s="822" t="b">
        <f t="shared" si="2"/>
        <v>1</v>
      </c>
    </row>
    <row r="63" spans="1:10" s="301" customFormat="1" ht="18.75" hidden="1" x14ac:dyDescent="0.25">
      <c r="A63" s="751" t="s">
        <v>543</v>
      </c>
      <c r="B63" s="821" t="s">
        <v>1085</v>
      </c>
      <c r="C63" s="1345">
        <f>'дод1.1без змін'!D207</f>
        <v>0</v>
      </c>
      <c r="D63" s="822"/>
      <c r="E63" s="760">
        <f t="shared" si="0"/>
        <v>0</v>
      </c>
      <c r="G63" s="826"/>
      <c r="H63" s="822">
        <f>'дод1.1без змін'!C207</f>
        <v>0</v>
      </c>
      <c r="I63" s="822">
        <f t="shared" si="1"/>
        <v>0</v>
      </c>
      <c r="J63" s="822" t="b">
        <f t="shared" si="2"/>
        <v>1</v>
      </c>
    </row>
    <row r="64" spans="1:10" s="301" customFormat="1" ht="18.75" hidden="1" x14ac:dyDescent="0.25">
      <c r="A64" s="751" t="s">
        <v>544</v>
      </c>
      <c r="B64" s="821" t="s">
        <v>1086</v>
      </c>
      <c r="C64" s="1345">
        <f>'дод1.1без змін'!D218</f>
        <v>0</v>
      </c>
      <c r="D64" s="822"/>
      <c r="E64" s="760">
        <f t="shared" si="0"/>
        <v>0</v>
      </c>
      <c r="G64" s="826"/>
      <c r="H64" s="822">
        <f>'дод1.1без змін'!C218</f>
        <v>0</v>
      </c>
      <c r="I64" s="822">
        <f t="shared" si="1"/>
        <v>0</v>
      </c>
      <c r="J64" s="822" t="b">
        <f t="shared" si="2"/>
        <v>1</v>
      </c>
    </row>
    <row r="65" spans="1:10" s="301" customFormat="1" ht="18.75" hidden="1" x14ac:dyDescent="0.25">
      <c r="A65" s="751" t="s">
        <v>545</v>
      </c>
      <c r="B65" s="821" t="s">
        <v>1087</v>
      </c>
      <c r="C65" s="1345">
        <f>'дод1.1без змін'!D229</f>
        <v>0</v>
      </c>
      <c r="D65" s="822"/>
      <c r="E65" s="760">
        <f t="shared" si="0"/>
        <v>0</v>
      </c>
      <c r="G65" s="826"/>
      <c r="H65" s="822">
        <f>'дод1.1без змін'!C229</f>
        <v>0</v>
      </c>
      <c r="I65" s="822">
        <f t="shared" si="1"/>
        <v>0</v>
      </c>
      <c r="J65" s="822" t="b">
        <f t="shared" si="2"/>
        <v>1</v>
      </c>
    </row>
    <row r="66" spans="1:10" s="301" customFormat="1" ht="18.75" hidden="1" x14ac:dyDescent="0.25">
      <c r="A66" s="751" t="s">
        <v>546</v>
      </c>
      <c r="B66" s="821" t="s">
        <v>1088</v>
      </c>
      <c r="C66" s="1345">
        <f>'дод1.1без змін'!D240</f>
        <v>0</v>
      </c>
      <c r="D66" s="822"/>
      <c r="E66" s="760">
        <f t="shared" si="0"/>
        <v>0</v>
      </c>
      <c r="G66" s="826"/>
      <c r="H66" s="822">
        <f>'дод1.1без змін'!C240</f>
        <v>0</v>
      </c>
      <c r="I66" s="822">
        <f t="shared" si="1"/>
        <v>0</v>
      </c>
      <c r="J66" s="822" t="b">
        <f t="shared" si="2"/>
        <v>1</v>
      </c>
    </row>
    <row r="67" spans="1:10" s="301" customFormat="1" ht="18.75" hidden="1" x14ac:dyDescent="0.25">
      <c r="A67" s="751" t="s">
        <v>547</v>
      </c>
      <c r="B67" s="821" t="s">
        <v>1089</v>
      </c>
      <c r="C67" s="1345">
        <f>'дод1.1без змін'!D251</f>
        <v>0</v>
      </c>
      <c r="D67" s="822"/>
      <c r="E67" s="760">
        <f t="shared" si="0"/>
        <v>0</v>
      </c>
      <c r="G67" s="826"/>
      <c r="H67" s="822">
        <f>'дод1.1без змін'!C251</f>
        <v>0</v>
      </c>
      <c r="I67" s="822">
        <f t="shared" si="1"/>
        <v>0</v>
      </c>
      <c r="J67" s="822" t="b">
        <f t="shared" si="2"/>
        <v>1</v>
      </c>
    </row>
    <row r="68" spans="1:10" s="301" customFormat="1" ht="18.75" hidden="1" x14ac:dyDescent="0.25">
      <c r="A68" s="751" t="s">
        <v>548</v>
      </c>
      <c r="B68" s="821" t="s">
        <v>1090</v>
      </c>
      <c r="C68" s="1345">
        <f>'дод1.1без змін'!D262</f>
        <v>0</v>
      </c>
      <c r="D68" s="822"/>
      <c r="E68" s="760">
        <f t="shared" si="0"/>
        <v>0</v>
      </c>
      <c r="G68" s="826"/>
      <c r="H68" s="822">
        <f>'дод1.1без змін'!C262</f>
        <v>0</v>
      </c>
      <c r="I68" s="822">
        <f t="shared" si="1"/>
        <v>0</v>
      </c>
      <c r="J68" s="822" t="b">
        <f t="shared" si="2"/>
        <v>1</v>
      </c>
    </row>
    <row r="69" spans="1:10" s="301" customFormat="1" ht="18.75" hidden="1" x14ac:dyDescent="0.25">
      <c r="A69" s="751" t="s">
        <v>549</v>
      </c>
      <c r="B69" s="821" t="s">
        <v>1091</v>
      </c>
      <c r="C69" s="1345">
        <f>'дод1.1без змін'!D273</f>
        <v>0</v>
      </c>
      <c r="D69" s="822"/>
      <c r="E69" s="760">
        <f t="shared" si="0"/>
        <v>0</v>
      </c>
      <c r="G69" s="826"/>
      <c r="H69" s="822">
        <f>'дод1.1без змін'!C273</f>
        <v>0</v>
      </c>
      <c r="I69" s="822">
        <f t="shared" si="1"/>
        <v>0</v>
      </c>
      <c r="J69" s="822" t="b">
        <f t="shared" si="2"/>
        <v>1</v>
      </c>
    </row>
    <row r="70" spans="1:10" s="301" customFormat="1" ht="18.75" hidden="1" x14ac:dyDescent="0.25">
      <c r="A70" s="751" t="s">
        <v>550</v>
      </c>
      <c r="B70" s="821" t="s">
        <v>1092</v>
      </c>
      <c r="C70" s="1345">
        <f>'дод1.1без змін'!D284</f>
        <v>0</v>
      </c>
      <c r="D70" s="822"/>
      <c r="E70" s="760">
        <f t="shared" si="0"/>
        <v>0</v>
      </c>
      <c r="G70" s="826"/>
      <c r="H70" s="822">
        <f>'дод1.1без змін'!C284</f>
        <v>0</v>
      </c>
      <c r="I70" s="822">
        <f t="shared" si="1"/>
        <v>0</v>
      </c>
      <c r="J70" s="822" t="b">
        <f t="shared" si="2"/>
        <v>1</v>
      </c>
    </row>
    <row r="71" spans="1:10" s="301" customFormat="1" ht="18.75" hidden="1" x14ac:dyDescent="0.25">
      <c r="A71" s="751" t="s">
        <v>551</v>
      </c>
      <c r="B71" s="821" t="s">
        <v>1093</v>
      </c>
      <c r="C71" s="1345">
        <f>'дод1.1без змін'!D295</f>
        <v>0</v>
      </c>
      <c r="D71" s="822"/>
      <c r="E71" s="760">
        <f t="shared" si="0"/>
        <v>0</v>
      </c>
      <c r="G71" s="826"/>
      <c r="H71" s="822">
        <f>'дод1.1без змін'!C295</f>
        <v>0</v>
      </c>
      <c r="I71" s="822">
        <f t="shared" si="1"/>
        <v>0</v>
      </c>
      <c r="J71" s="822" t="b">
        <f t="shared" si="2"/>
        <v>1</v>
      </c>
    </row>
    <row r="72" spans="1:10" s="301" customFormat="1" ht="18.75" hidden="1" x14ac:dyDescent="0.25">
      <c r="A72" s="751" t="s">
        <v>552</v>
      </c>
      <c r="B72" s="821" t="s">
        <v>1094</v>
      </c>
      <c r="C72" s="1345">
        <f>'дод1.1без змін'!D306</f>
        <v>0</v>
      </c>
      <c r="D72" s="822"/>
      <c r="E72" s="760">
        <f t="shared" si="0"/>
        <v>0</v>
      </c>
      <c r="G72" s="826"/>
      <c r="H72" s="822">
        <f>'дод1.1без змін'!C306</f>
        <v>0</v>
      </c>
      <c r="I72" s="822">
        <f t="shared" si="1"/>
        <v>0</v>
      </c>
      <c r="J72" s="822" t="b">
        <f t="shared" si="2"/>
        <v>1</v>
      </c>
    </row>
    <row r="73" spans="1:10" s="301" customFormat="1" ht="18.75" hidden="1" x14ac:dyDescent="0.25">
      <c r="A73" s="751" t="s">
        <v>553</v>
      </c>
      <c r="B73" s="821" t="s">
        <v>1095</v>
      </c>
      <c r="C73" s="1345">
        <f>'дод1.1без змін'!D317</f>
        <v>0</v>
      </c>
      <c r="D73" s="822"/>
      <c r="E73" s="760">
        <f t="shared" si="0"/>
        <v>0</v>
      </c>
      <c r="G73" s="826"/>
      <c r="H73" s="822">
        <f>'дод1.1без змін'!C317</f>
        <v>0</v>
      </c>
      <c r="I73" s="822">
        <f t="shared" si="1"/>
        <v>0</v>
      </c>
      <c r="J73" s="822" t="b">
        <f t="shared" si="2"/>
        <v>1</v>
      </c>
    </row>
    <row r="74" spans="1:10" s="301" customFormat="1" ht="18.75" hidden="1" x14ac:dyDescent="0.25">
      <c r="A74" s="751" t="s">
        <v>554</v>
      </c>
      <c r="B74" s="821" t="s">
        <v>1096</v>
      </c>
      <c r="C74" s="1345">
        <f>'дод1.1без змін'!D328</f>
        <v>0</v>
      </c>
      <c r="D74" s="822"/>
      <c r="E74" s="760">
        <f t="shared" si="0"/>
        <v>0</v>
      </c>
      <c r="G74" s="826"/>
      <c r="H74" s="822">
        <f>'дод1.1без змін'!C328</f>
        <v>0</v>
      </c>
      <c r="I74" s="822">
        <f t="shared" si="1"/>
        <v>0</v>
      </c>
      <c r="J74" s="822" t="b">
        <f t="shared" si="2"/>
        <v>1</v>
      </c>
    </row>
    <row r="75" spans="1:10" s="301" customFormat="1" ht="18.75" hidden="1" x14ac:dyDescent="0.25">
      <c r="A75" s="751" t="s">
        <v>555</v>
      </c>
      <c r="B75" s="821" t="s">
        <v>1097</v>
      </c>
      <c r="C75" s="1345">
        <f>'дод1.1без змін'!D339</f>
        <v>0</v>
      </c>
      <c r="D75" s="822"/>
      <c r="E75" s="760">
        <f t="shared" si="0"/>
        <v>0</v>
      </c>
      <c r="G75" s="826"/>
      <c r="H75" s="822">
        <f>'дод1.1без змін'!C339</f>
        <v>0</v>
      </c>
      <c r="I75" s="822">
        <f t="shared" si="1"/>
        <v>0</v>
      </c>
      <c r="J75" s="822" t="b">
        <f t="shared" si="2"/>
        <v>1</v>
      </c>
    </row>
    <row r="76" spans="1:10" s="301" customFormat="1" ht="18.75" hidden="1" x14ac:dyDescent="0.25">
      <c r="A76" s="751" t="s">
        <v>556</v>
      </c>
      <c r="B76" s="821" t="s">
        <v>1098</v>
      </c>
      <c r="C76" s="1345">
        <f>'дод1.1без змін'!D350</f>
        <v>0</v>
      </c>
      <c r="D76" s="822"/>
      <c r="E76" s="760">
        <f t="shared" si="0"/>
        <v>0</v>
      </c>
      <c r="G76" s="826"/>
      <c r="H76" s="822">
        <f>'дод1.1без змін'!C350</f>
        <v>0</v>
      </c>
      <c r="I76" s="822">
        <f t="shared" si="1"/>
        <v>0</v>
      </c>
      <c r="J76" s="822" t="b">
        <f t="shared" si="2"/>
        <v>1</v>
      </c>
    </row>
    <row r="77" spans="1:10" s="301" customFormat="1" ht="18.75" hidden="1" x14ac:dyDescent="0.25">
      <c r="A77" s="751" t="s">
        <v>557</v>
      </c>
      <c r="B77" s="821" t="s">
        <v>1099</v>
      </c>
      <c r="C77" s="1345">
        <f>'дод1.1без змін'!D361</f>
        <v>0</v>
      </c>
      <c r="D77" s="822"/>
      <c r="E77" s="760">
        <f t="shared" si="0"/>
        <v>0</v>
      </c>
      <c r="G77" s="826"/>
      <c r="H77" s="822">
        <f>'дод1.1без змін'!C361</f>
        <v>0</v>
      </c>
      <c r="I77" s="822">
        <f t="shared" si="1"/>
        <v>0</v>
      </c>
      <c r="J77" s="822" t="b">
        <f t="shared" si="2"/>
        <v>1</v>
      </c>
    </row>
    <row r="78" spans="1:10" s="301" customFormat="1" ht="18.75" hidden="1" x14ac:dyDescent="0.25">
      <c r="A78" s="751" t="s">
        <v>558</v>
      </c>
      <c r="B78" s="821" t="s">
        <v>1100</v>
      </c>
      <c r="C78" s="1345">
        <f>'дод1.1без змін'!D372</f>
        <v>0</v>
      </c>
      <c r="D78" s="822"/>
      <c r="E78" s="760">
        <f t="shared" si="0"/>
        <v>0</v>
      </c>
      <c r="G78" s="826"/>
      <c r="H78" s="822">
        <f>'дод1.1без змін'!C372</f>
        <v>0</v>
      </c>
      <c r="I78" s="822">
        <f t="shared" ref="I78:I109" si="3">C78+C222</f>
        <v>0</v>
      </c>
      <c r="J78" s="822" t="b">
        <f t="shared" si="2"/>
        <v>1</v>
      </c>
    </row>
    <row r="79" spans="1:10" s="301" customFormat="1" ht="18.75" hidden="1" x14ac:dyDescent="0.25">
      <c r="A79" s="751" t="s">
        <v>559</v>
      </c>
      <c r="B79" s="821" t="s">
        <v>1101</v>
      </c>
      <c r="C79" s="1345">
        <f>'дод1.1без змін'!D383</f>
        <v>0</v>
      </c>
      <c r="D79" s="822"/>
      <c r="E79" s="760">
        <f t="shared" si="0"/>
        <v>0</v>
      </c>
      <c r="G79" s="826"/>
      <c r="H79" s="822">
        <f>'дод1.1без змін'!C383</f>
        <v>0</v>
      </c>
      <c r="I79" s="822">
        <f t="shared" si="3"/>
        <v>0</v>
      </c>
      <c r="J79" s="822" t="b">
        <f t="shared" si="2"/>
        <v>1</v>
      </c>
    </row>
    <row r="80" spans="1:10" s="301" customFormat="1" ht="18.75" hidden="1" x14ac:dyDescent="0.25">
      <c r="A80" s="751" t="s">
        <v>560</v>
      </c>
      <c r="B80" s="821" t="s">
        <v>1102</v>
      </c>
      <c r="C80" s="1345">
        <f>'дод1.1без змін'!D394</f>
        <v>0</v>
      </c>
      <c r="D80" s="822"/>
      <c r="E80" s="760">
        <f t="shared" si="0"/>
        <v>0</v>
      </c>
      <c r="G80" s="826"/>
      <c r="H80" s="822">
        <f>'дод1.1без змін'!C394</f>
        <v>0</v>
      </c>
      <c r="I80" s="822">
        <f t="shared" si="3"/>
        <v>0</v>
      </c>
      <c r="J80" s="822" t="b">
        <f t="shared" si="2"/>
        <v>1</v>
      </c>
    </row>
    <row r="81" spans="1:10" s="301" customFormat="1" ht="18.75" hidden="1" x14ac:dyDescent="0.25">
      <c r="A81" s="751" t="s">
        <v>561</v>
      </c>
      <c r="B81" s="821" t="s">
        <v>1103</v>
      </c>
      <c r="C81" s="1345">
        <f>'дод1.1без змін'!D405</f>
        <v>0</v>
      </c>
      <c r="D81" s="822"/>
      <c r="E81" s="760">
        <f t="shared" si="0"/>
        <v>0</v>
      </c>
      <c r="G81" s="826"/>
      <c r="H81" s="822">
        <f>'дод1.1без змін'!C405</f>
        <v>0</v>
      </c>
      <c r="I81" s="822">
        <f t="shared" si="3"/>
        <v>0</v>
      </c>
      <c r="J81" s="822" t="b">
        <f t="shared" si="2"/>
        <v>1</v>
      </c>
    </row>
    <row r="82" spans="1:10" s="301" customFormat="1" ht="18.75" hidden="1" x14ac:dyDescent="0.25">
      <c r="A82" s="751" t="s">
        <v>562</v>
      </c>
      <c r="B82" s="821" t="s">
        <v>1104</v>
      </c>
      <c r="C82" s="1345">
        <f>'дод1.1без змін'!D416</f>
        <v>0</v>
      </c>
      <c r="D82" s="822"/>
      <c r="E82" s="760">
        <f t="shared" si="0"/>
        <v>0</v>
      </c>
      <c r="G82" s="826"/>
      <c r="H82" s="822">
        <f>'дод1.1без змін'!C416</f>
        <v>0</v>
      </c>
      <c r="I82" s="822">
        <f t="shared" si="3"/>
        <v>0</v>
      </c>
      <c r="J82" s="822" t="b">
        <f t="shared" si="2"/>
        <v>1</v>
      </c>
    </row>
    <row r="83" spans="1:10" s="301" customFormat="1" ht="18.75" hidden="1" x14ac:dyDescent="0.25">
      <c r="A83" s="751" t="s">
        <v>563</v>
      </c>
      <c r="B83" s="821" t="s">
        <v>1105</v>
      </c>
      <c r="C83" s="1345">
        <f>'дод1.1без змін'!D427</f>
        <v>0</v>
      </c>
      <c r="D83" s="822"/>
      <c r="E83" s="760">
        <f t="shared" si="0"/>
        <v>0</v>
      </c>
      <c r="G83" s="826"/>
      <c r="H83" s="822">
        <f>'дод1.1без змін'!C427</f>
        <v>0</v>
      </c>
      <c r="I83" s="822">
        <f t="shared" si="3"/>
        <v>0</v>
      </c>
      <c r="J83" s="822" t="b">
        <f t="shared" si="2"/>
        <v>1</v>
      </c>
    </row>
    <row r="84" spans="1:10" s="301" customFormat="1" ht="18.75" hidden="1" x14ac:dyDescent="0.25">
      <c r="A84" s="751" t="s">
        <v>564</v>
      </c>
      <c r="B84" s="821" t="s">
        <v>1106</v>
      </c>
      <c r="C84" s="1345">
        <f>'дод1.1без змін'!D438</f>
        <v>0</v>
      </c>
      <c r="D84" s="822"/>
      <c r="E84" s="760">
        <f t="shared" si="0"/>
        <v>0</v>
      </c>
      <c r="G84" s="826"/>
      <c r="H84" s="822">
        <f>'дод1.1без змін'!C438</f>
        <v>0</v>
      </c>
      <c r="I84" s="822">
        <f t="shared" si="3"/>
        <v>0</v>
      </c>
      <c r="J84" s="822" t="b">
        <f t="shared" si="2"/>
        <v>1</v>
      </c>
    </row>
    <row r="85" spans="1:10" s="301" customFormat="1" ht="18.75" hidden="1" x14ac:dyDescent="0.25">
      <c r="A85" s="751" t="s">
        <v>565</v>
      </c>
      <c r="B85" s="821" t="s">
        <v>1107</v>
      </c>
      <c r="C85" s="1345">
        <f>'дод1.1без змін'!D449</f>
        <v>0</v>
      </c>
      <c r="D85" s="822"/>
      <c r="E85" s="760">
        <f t="shared" si="0"/>
        <v>0</v>
      </c>
      <c r="G85" s="826"/>
      <c r="H85" s="822">
        <f>'дод1.1без змін'!C449</f>
        <v>0</v>
      </c>
      <c r="I85" s="822">
        <f t="shared" si="3"/>
        <v>0</v>
      </c>
      <c r="J85" s="822" t="b">
        <f t="shared" si="2"/>
        <v>1</v>
      </c>
    </row>
    <row r="86" spans="1:10" s="301" customFormat="1" ht="18.75" hidden="1" x14ac:dyDescent="0.25">
      <c r="A86" s="751" t="s">
        <v>566</v>
      </c>
      <c r="B86" s="821" t="s">
        <v>1108</v>
      </c>
      <c r="C86" s="1345">
        <f>'дод1.1без змін'!D460</f>
        <v>0</v>
      </c>
      <c r="D86" s="822"/>
      <c r="E86" s="760">
        <f t="shared" si="0"/>
        <v>0</v>
      </c>
      <c r="G86" s="826"/>
      <c r="H86" s="822">
        <f>'дод1.1без змін'!C460</f>
        <v>0</v>
      </c>
      <c r="I86" s="822">
        <f t="shared" si="3"/>
        <v>0</v>
      </c>
      <c r="J86" s="822" t="b">
        <f t="shared" si="2"/>
        <v>1</v>
      </c>
    </row>
    <row r="87" spans="1:10" s="301" customFormat="1" ht="18.75" hidden="1" x14ac:dyDescent="0.25">
      <c r="A87" s="751" t="s">
        <v>567</v>
      </c>
      <c r="B87" s="821" t="s">
        <v>1109</v>
      </c>
      <c r="C87" s="1345">
        <f>'дод1.1без змін'!D471</f>
        <v>0</v>
      </c>
      <c r="D87" s="822"/>
      <c r="E87" s="760">
        <f t="shared" si="0"/>
        <v>0</v>
      </c>
      <c r="G87" s="826"/>
      <c r="H87" s="822">
        <f>'дод1.1без змін'!C471</f>
        <v>0</v>
      </c>
      <c r="I87" s="822">
        <f t="shared" si="3"/>
        <v>0</v>
      </c>
      <c r="J87" s="822" t="b">
        <f t="shared" si="2"/>
        <v>1</v>
      </c>
    </row>
    <row r="88" spans="1:10" s="301" customFormat="1" ht="18.75" hidden="1" x14ac:dyDescent="0.25">
      <c r="A88" s="751" t="s">
        <v>780</v>
      </c>
      <c r="B88" s="821" t="s">
        <v>1110</v>
      </c>
      <c r="C88" s="1345">
        <f>'дод1.1без змін'!D482</f>
        <v>0</v>
      </c>
      <c r="D88" s="822"/>
      <c r="E88" s="760">
        <f t="shared" si="0"/>
        <v>0</v>
      </c>
      <c r="G88" s="826"/>
      <c r="H88" s="822">
        <f>'дод1.1без змін'!C482</f>
        <v>0</v>
      </c>
      <c r="I88" s="822">
        <f t="shared" si="3"/>
        <v>0</v>
      </c>
      <c r="J88" s="822" t="b">
        <f t="shared" si="2"/>
        <v>1</v>
      </c>
    </row>
    <row r="89" spans="1:10" s="301" customFormat="1" ht="18.75" hidden="1" x14ac:dyDescent="0.25">
      <c r="A89" s="751" t="s">
        <v>781</v>
      </c>
      <c r="B89" s="821" t="s">
        <v>1111</v>
      </c>
      <c r="C89" s="1345">
        <f>'дод1.1без змін'!D493</f>
        <v>0</v>
      </c>
      <c r="D89" s="822"/>
      <c r="E89" s="760">
        <f t="shared" si="0"/>
        <v>0</v>
      </c>
      <c r="G89" s="826"/>
      <c r="H89" s="822">
        <f>'дод1.1без змін'!C493</f>
        <v>0</v>
      </c>
      <c r="I89" s="822">
        <f t="shared" si="3"/>
        <v>0</v>
      </c>
      <c r="J89" s="822" t="b">
        <f t="shared" si="2"/>
        <v>1</v>
      </c>
    </row>
    <row r="90" spans="1:10" s="301" customFormat="1" ht="18.75" hidden="1" x14ac:dyDescent="0.25">
      <c r="A90" s="751" t="s">
        <v>782</v>
      </c>
      <c r="B90" s="821" t="s">
        <v>1112</v>
      </c>
      <c r="C90" s="1345">
        <f>'дод1.1без змін'!D504</f>
        <v>0</v>
      </c>
      <c r="D90" s="822"/>
      <c r="E90" s="760">
        <f t="shared" si="0"/>
        <v>0</v>
      </c>
      <c r="G90" s="826"/>
      <c r="H90" s="822">
        <f>'дод1.1без змін'!C504</f>
        <v>0</v>
      </c>
      <c r="I90" s="822">
        <f t="shared" si="3"/>
        <v>0</v>
      </c>
      <c r="J90" s="822" t="b">
        <f t="shared" si="2"/>
        <v>1</v>
      </c>
    </row>
    <row r="91" spans="1:10" s="301" customFormat="1" ht="18.75" hidden="1" x14ac:dyDescent="0.25">
      <c r="A91" s="751" t="s">
        <v>783</v>
      </c>
      <c r="B91" s="821" t="s">
        <v>1113</v>
      </c>
      <c r="C91" s="1345">
        <f>'дод1.1без змін'!D515</f>
        <v>0</v>
      </c>
      <c r="D91" s="822"/>
      <c r="E91" s="760">
        <f t="shared" si="0"/>
        <v>0</v>
      </c>
      <c r="G91" s="826"/>
      <c r="H91" s="822">
        <f>'дод1.1без змін'!C515</f>
        <v>0</v>
      </c>
      <c r="I91" s="822">
        <f t="shared" si="3"/>
        <v>0</v>
      </c>
      <c r="J91" s="822" t="b">
        <f t="shared" si="2"/>
        <v>1</v>
      </c>
    </row>
    <row r="92" spans="1:10" s="301" customFormat="1" ht="18.75" hidden="1" x14ac:dyDescent="0.25">
      <c r="A92" s="751" t="s">
        <v>784</v>
      </c>
      <c r="B92" s="821" t="s">
        <v>1114</v>
      </c>
      <c r="C92" s="1345">
        <f>'дод1.1без змін'!D526</f>
        <v>0</v>
      </c>
      <c r="D92" s="822"/>
      <c r="E92" s="760">
        <f t="shared" si="0"/>
        <v>0</v>
      </c>
      <c r="G92" s="826"/>
      <c r="H92" s="822">
        <f>'дод1.1без змін'!C526</f>
        <v>0</v>
      </c>
      <c r="I92" s="822">
        <f t="shared" si="3"/>
        <v>0</v>
      </c>
      <c r="J92" s="822" t="b">
        <f t="shared" si="2"/>
        <v>1</v>
      </c>
    </row>
    <row r="93" spans="1:10" s="301" customFormat="1" ht="18.75" hidden="1" x14ac:dyDescent="0.25">
      <c r="A93" s="751" t="s">
        <v>785</v>
      </c>
      <c r="B93" s="821" t="s">
        <v>1115</v>
      </c>
      <c r="C93" s="1345">
        <f>'дод1.1без змін'!D537</f>
        <v>0</v>
      </c>
      <c r="D93" s="822"/>
      <c r="E93" s="760">
        <f t="shared" ref="E93:E156" si="4">C93</f>
        <v>0</v>
      </c>
      <c r="G93" s="826"/>
      <c r="H93" s="822">
        <f>'дод1.1без змін'!C537</f>
        <v>0</v>
      </c>
      <c r="I93" s="822">
        <f t="shared" si="3"/>
        <v>0</v>
      </c>
      <c r="J93" s="822" t="b">
        <f t="shared" si="2"/>
        <v>1</v>
      </c>
    </row>
    <row r="94" spans="1:10" s="301" customFormat="1" ht="18.75" hidden="1" x14ac:dyDescent="0.25">
      <c r="A94" s="751" t="s">
        <v>910</v>
      </c>
      <c r="B94" s="821" t="s">
        <v>1116</v>
      </c>
      <c r="C94" s="1345">
        <f>'дод1.1без змін'!D548</f>
        <v>0</v>
      </c>
      <c r="D94" s="822"/>
      <c r="E94" s="760">
        <f t="shared" si="4"/>
        <v>0</v>
      </c>
      <c r="G94" s="826"/>
      <c r="H94" s="822">
        <f>'дод1.1без змін'!C548</f>
        <v>0</v>
      </c>
      <c r="I94" s="822">
        <f t="shared" si="3"/>
        <v>0</v>
      </c>
      <c r="J94" s="822" t="b">
        <f t="shared" si="2"/>
        <v>1</v>
      </c>
    </row>
    <row r="95" spans="1:10" s="301" customFormat="1" ht="18.75" hidden="1" x14ac:dyDescent="0.25">
      <c r="A95" s="751" t="s">
        <v>911</v>
      </c>
      <c r="B95" s="821" t="s">
        <v>1117</v>
      </c>
      <c r="C95" s="1345">
        <f>'дод1.1без змін'!D559</f>
        <v>0</v>
      </c>
      <c r="D95" s="822"/>
      <c r="E95" s="760">
        <f t="shared" si="4"/>
        <v>0</v>
      </c>
      <c r="G95" s="826"/>
      <c r="H95" s="822">
        <f>'дод1.1без змін'!C559</f>
        <v>0</v>
      </c>
      <c r="I95" s="822">
        <f t="shared" si="3"/>
        <v>0</v>
      </c>
      <c r="J95" s="822" t="b">
        <f t="shared" si="2"/>
        <v>1</v>
      </c>
    </row>
    <row r="96" spans="1:10" s="301" customFormat="1" ht="18.75" hidden="1" x14ac:dyDescent="0.25">
      <c r="A96" s="751" t="s">
        <v>1118</v>
      </c>
      <c r="B96" s="821" t="s">
        <v>1119</v>
      </c>
      <c r="C96" s="1345">
        <f>'дод1.1без змін'!D570</f>
        <v>0</v>
      </c>
      <c r="D96" s="822"/>
      <c r="E96" s="760">
        <f t="shared" si="4"/>
        <v>0</v>
      </c>
      <c r="G96" s="826"/>
      <c r="H96" s="822">
        <f>'дод1.1без змін'!C570</f>
        <v>0</v>
      </c>
      <c r="I96" s="822">
        <f t="shared" si="3"/>
        <v>0</v>
      </c>
      <c r="J96" s="822" t="b">
        <f t="shared" si="2"/>
        <v>1</v>
      </c>
    </row>
    <row r="97" spans="1:10" s="301" customFormat="1" ht="18.75" hidden="1" x14ac:dyDescent="0.25">
      <c r="A97" s="751" t="s">
        <v>1120</v>
      </c>
      <c r="B97" s="821" t="s">
        <v>1121</v>
      </c>
      <c r="C97" s="1345">
        <f>'дод1.1без змін'!D581</f>
        <v>0</v>
      </c>
      <c r="D97" s="822"/>
      <c r="E97" s="760">
        <f t="shared" si="4"/>
        <v>0</v>
      </c>
      <c r="G97" s="826"/>
      <c r="H97" s="822">
        <f>'дод1.1без змін'!C581</f>
        <v>0</v>
      </c>
      <c r="I97" s="822">
        <f t="shared" si="3"/>
        <v>0</v>
      </c>
      <c r="J97" s="822" t="b">
        <f t="shared" si="2"/>
        <v>1</v>
      </c>
    </row>
    <row r="98" spans="1:10" s="301" customFormat="1" ht="18.75" hidden="1" x14ac:dyDescent="0.25">
      <c r="A98" s="751" t="s">
        <v>1122</v>
      </c>
      <c r="B98" s="821" t="s">
        <v>1123</v>
      </c>
      <c r="C98" s="1345">
        <f>'дод1.1без змін'!D592</f>
        <v>0</v>
      </c>
      <c r="D98" s="822"/>
      <c r="E98" s="760">
        <f t="shared" si="4"/>
        <v>0</v>
      </c>
      <c r="G98" s="826"/>
      <c r="H98" s="822">
        <f>'дод1.1без змін'!C592</f>
        <v>0</v>
      </c>
      <c r="I98" s="822">
        <f t="shared" si="3"/>
        <v>0</v>
      </c>
      <c r="J98" s="822" t="b">
        <f t="shared" si="2"/>
        <v>1</v>
      </c>
    </row>
    <row r="99" spans="1:10" s="301" customFormat="1" ht="18.75" hidden="1" x14ac:dyDescent="0.25">
      <c r="A99" s="751" t="s">
        <v>1124</v>
      </c>
      <c r="B99" s="821" t="s">
        <v>1125</v>
      </c>
      <c r="C99" s="1345">
        <f>'дод1.1без змін'!D603</f>
        <v>0</v>
      </c>
      <c r="D99" s="822"/>
      <c r="E99" s="760">
        <f t="shared" si="4"/>
        <v>0</v>
      </c>
      <c r="G99" s="826"/>
      <c r="H99" s="822">
        <f>'дод1.1без змін'!C603</f>
        <v>0</v>
      </c>
      <c r="I99" s="822">
        <f t="shared" si="3"/>
        <v>0</v>
      </c>
      <c r="J99" s="822" t="b">
        <f t="shared" si="2"/>
        <v>1</v>
      </c>
    </row>
    <row r="100" spans="1:10" s="301" customFormat="1" ht="18.75" hidden="1" x14ac:dyDescent="0.25">
      <c r="A100" s="751" t="s">
        <v>1126</v>
      </c>
      <c r="B100" s="821" t="s">
        <v>1127</v>
      </c>
      <c r="C100" s="1345">
        <f>'дод1.1без змін'!D614</f>
        <v>0</v>
      </c>
      <c r="D100" s="822"/>
      <c r="E100" s="760">
        <f t="shared" si="4"/>
        <v>0</v>
      </c>
      <c r="G100" s="826"/>
      <c r="H100" s="822">
        <f>'дод1.1без змін'!C614</f>
        <v>0</v>
      </c>
      <c r="I100" s="822">
        <f t="shared" si="3"/>
        <v>0</v>
      </c>
      <c r="J100" s="822" t="b">
        <f t="shared" si="2"/>
        <v>1</v>
      </c>
    </row>
    <row r="101" spans="1:10" s="301" customFormat="1" ht="18.75" hidden="1" x14ac:dyDescent="0.25">
      <c r="A101" s="751" t="s">
        <v>1128</v>
      </c>
      <c r="B101" s="821" t="s">
        <v>1129</v>
      </c>
      <c r="C101" s="1345">
        <f>'дод1.1без змін'!D625</f>
        <v>0</v>
      </c>
      <c r="D101" s="822"/>
      <c r="E101" s="760">
        <f t="shared" si="4"/>
        <v>0</v>
      </c>
      <c r="G101" s="826"/>
      <c r="H101" s="822">
        <f>'дод1.1без змін'!C625</f>
        <v>0</v>
      </c>
      <c r="I101" s="822">
        <f t="shared" si="3"/>
        <v>0</v>
      </c>
      <c r="J101" s="822" t="b">
        <f t="shared" si="2"/>
        <v>1</v>
      </c>
    </row>
    <row r="102" spans="1:10" s="301" customFormat="1" ht="18.75" hidden="1" x14ac:dyDescent="0.25">
      <c r="A102" s="751" t="s">
        <v>1130</v>
      </c>
      <c r="B102" s="821" t="s">
        <v>1131</v>
      </c>
      <c r="C102" s="1345">
        <f>'дод1.1без змін'!D636</f>
        <v>0</v>
      </c>
      <c r="D102" s="822"/>
      <c r="E102" s="760">
        <f t="shared" si="4"/>
        <v>0</v>
      </c>
      <c r="G102" s="826"/>
      <c r="H102" s="822">
        <f>'дод1.1без змін'!C636</f>
        <v>0</v>
      </c>
      <c r="I102" s="822">
        <f t="shared" si="3"/>
        <v>0</v>
      </c>
      <c r="J102" s="822" t="b">
        <f t="shared" si="2"/>
        <v>1</v>
      </c>
    </row>
    <row r="103" spans="1:10" s="301" customFormat="1" ht="18.75" hidden="1" x14ac:dyDescent="0.25">
      <c r="A103" s="751" t="s">
        <v>1132</v>
      </c>
      <c r="B103" s="821" t="s">
        <v>1133</v>
      </c>
      <c r="C103" s="1345">
        <f>'дод1.1без змін'!D647</f>
        <v>0</v>
      </c>
      <c r="D103" s="822"/>
      <c r="E103" s="760">
        <f t="shared" si="4"/>
        <v>0</v>
      </c>
      <c r="G103" s="826"/>
      <c r="H103" s="822">
        <f>'дод1.1без змін'!C647</f>
        <v>0</v>
      </c>
      <c r="I103" s="822">
        <f t="shared" si="3"/>
        <v>0</v>
      </c>
      <c r="J103" s="822" t="b">
        <f t="shared" si="2"/>
        <v>1</v>
      </c>
    </row>
    <row r="104" spans="1:10" s="301" customFormat="1" ht="18.75" hidden="1" x14ac:dyDescent="0.25">
      <c r="A104" s="751" t="s">
        <v>1134</v>
      </c>
      <c r="B104" s="821" t="s">
        <v>1135</v>
      </c>
      <c r="C104" s="1345">
        <f>'дод1.1без змін'!D658</f>
        <v>0</v>
      </c>
      <c r="D104" s="822"/>
      <c r="E104" s="760">
        <f t="shared" si="4"/>
        <v>0</v>
      </c>
      <c r="G104" s="826"/>
      <c r="H104" s="822">
        <f>'дод1.1без змін'!C658</f>
        <v>0</v>
      </c>
      <c r="I104" s="822">
        <f t="shared" si="3"/>
        <v>0</v>
      </c>
      <c r="J104" s="822" t="b">
        <f t="shared" si="2"/>
        <v>1</v>
      </c>
    </row>
    <row r="105" spans="1:10" s="301" customFormat="1" ht="18.75" hidden="1" x14ac:dyDescent="0.25">
      <c r="A105" s="751" t="s">
        <v>1136</v>
      </c>
      <c r="B105" s="821" t="s">
        <v>1137</v>
      </c>
      <c r="C105" s="1345">
        <f>'дод1.1без змін'!D669</f>
        <v>0</v>
      </c>
      <c r="D105" s="822"/>
      <c r="E105" s="760">
        <f t="shared" si="4"/>
        <v>0</v>
      </c>
      <c r="G105" s="826"/>
      <c r="H105" s="822">
        <f>'дод1.1без змін'!C669</f>
        <v>0</v>
      </c>
      <c r="I105" s="822">
        <f t="shared" si="3"/>
        <v>0</v>
      </c>
      <c r="J105" s="822" t="b">
        <f t="shared" si="2"/>
        <v>1</v>
      </c>
    </row>
    <row r="106" spans="1:10" s="301" customFormat="1" ht="18.75" hidden="1" x14ac:dyDescent="0.25">
      <c r="A106" s="751" t="s">
        <v>1138</v>
      </c>
      <c r="B106" s="821" t="s">
        <v>1139</v>
      </c>
      <c r="C106" s="1345">
        <f>'дод1.1без змін'!D680</f>
        <v>0</v>
      </c>
      <c r="D106" s="822"/>
      <c r="E106" s="760">
        <f t="shared" si="4"/>
        <v>0</v>
      </c>
      <c r="G106" s="826"/>
      <c r="H106" s="822">
        <f>'дод1.1без змін'!C680</f>
        <v>0</v>
      </c>
      <c r="I106" s="822">
        <f t="shared" si="3"/>
        <v>0</v>
      </c>
      <c r="J106" s="822" t="b">
        <f t="shared" si="2"/>
        <v>1</v>
      </c>
    </row>
    <row r="107" spans="1:10" s="301" customFormat="1" ht="18.75" hidden="1" x14ac:dyDescent="0.25">
      <c r="A107" s="751" t="s">
        <v>1140</v>
      </c>
      <c r="B107" s="821" t="s">
        <v>1141</v>
      </c>
      <c r="C107" s="1345">
        <f>'дод1.1без змін'!D691</f>
        <v>0</v>
      </c>
      <c r="D107" s="822"/>
      <c r="E107" s="760">
        <f t="shared" si="4"/>
        <v>0</v>
      </c>
      <c r="G107" s="826"/>
      <c r="H107" s="822">
        <f>'дод1.1без змін'!C691</f>
        <v>0</v>
      </c>
      <c r="I107" s="822">
        <f t="shared" si="3"/>
        <v>0</v>
      </c>
      <c r="J107" s="822" t="b">
        <f t="shared" si="2"/>
        <v>1</v>
      </c>
    </row>
    <row r="108" spans="1:10" s="301" customFormat="1" ht="18.75" hidden="1" x14ac:dyDescent="0.25">
      <c r="A108" s="751" t="s">
        <v>1142</v>
      </c>
      <c r="B108" s="821" t="s">
        <v>1143</v>
      </c>
      <c r="C108" s="1345">
        <f>'дод1.1без змін'!D702</f>
        <v>0</v>
      </c>
      <c r="D108" s="822"/>
      <c r="E108" s="760">
        <f t="shared" si="4"/>
        <v>0</v>
      </c>
      <c r="G108" s="826"/>
      <c r="H108" s="822">
        <f>'дод1.1без змін'!C702</f>
        <v>0</v>
      </c>
      <c r="I108" s="822">
        <f t="shared" si="3"/>
        <v>0</v>
      </c>
      <c r="J108" s="822" t="b">
        <f t="shared" si="2"/>
        <v>1</v>
      </c>
    </row>
    <row r="109" spans="1:10" s="301" customFormat="1" ht="18.75" hidden="1" x14ac:dyDescent="0.25">
      <c r="A109" s="751" t="s">
        <v>1144</v>
      </c>
      <c r="B109" s="821" t="s">
        <v>1145</v>
      </c>
      <c r="C109" s="1345">
        <f>'дод1.1без змін'!D713</f>
        <v>0</v>
      </c>
      <c r="D109" s="822"/>
      <c r="E109" s="760">
        <f t="shared" si="4"/>
        <v>0</v>
      </c>
      <c r="G109" s="826"/>
      <c r="H109" s="822">
        <f>'дод1.1без змін'!C713</f>
        <v>0</v>
      </c>
      <c r="I109" s="822">
        <f t="shared" si="3"/>
        <v>0</v>
      </c>
      <c r="J109" s="822" t="b">
        <f t="shared" si="2"/>
        <v>1</v>
      </c>
    </row>
    <row r="110" spans="1:10" s="301" customFormat="1" ht="18.75" hidden="1" x14ac:dyDescent="0.25">
      <c r="A110" s="751" t="s">
        <v>1146</v>
      </c>
      <c r="B110" s="821" t="s">
        <v>1147</v>
      </c>
      <c r="C110" s="1345">
        <f>'дод1.1без змін'!D724</f>
        <v>0</v>
      </c>
      <c r="D110" s="822"/>
      <c r="E110" s="760">
        <f t="shared" si="4"/>
        <v>0</v>
      </c>
      <c r="G110" s="826"/>
      <c r="H110" s="822">
        <f>'дод1.1без змін'!C724</f>
        <v>0</v>
      </c>
      <c r="I110" s="822">
        <f>C110+C254</f>
        <v>0</v>
      </c>
      <c r="J110" s="822" t="b">
        <f t="shared" si="2"/>
        <v>1</v>
      </c>
    </row>
    <row r="111" spans="1:10" s="301" customFormat="1" ht="18.75" hidden="1" x14ac:dyDescent="0.25">
      <c r="A111" s="751" t="s">
        <v>1148</v>
      </c>
      <c r="B111" s="821" t="s">
        <v>1149</v>
      </c>
      <c r="C111" s="1345">
        <f>'дод1.1без змін'!D735</f>
        <v>0</v>
      </c>
      <c r="D111" s="822"/>
      <c r="E111" s="760">
        <f t="shared" si="4"/>
        <v>0</v>
      </c>
      <c r="G111" s="826"/>
      <c r="H111" s="822">
        <f>'дод1.1без змін'!C735</f>
        <v>0</v>
      </c>
      <c r="I111" s="822">
        <f>C111+C255</f>
        <v>0</v>
      </c>
      <c r="J111" s="822" t="b">
        <f>I111=H111</f>
        <v>1</v>
      </c>
    </row>
    <row r="112" spans="1:10" s="738" customFormat="1" ht="99" customHeight="1" x14ac:dyDescent="0.25">
      <c r="A112" s="779">
        <v>41053900</v>
      </c>
      <c r="B112" s="780" t="s">
        <v>305</v>
      </c>
      <c r="C112" s="1343">
        <f>SUM(C113:C179)</f>
        <v>1028690</v>
      </c>
      <c r="D112" s="781"/>
      <c r="E112" s="760">
        <f t="shared" si="4"/>
        <v>1028690</v>
      </c>
      <c r="G112" s="1373">
        <f>C112-дод1!D161</f>
        <v>0</v>
      </c>
      <c r="H112" s="823"/>
      <c r="I112" s="823"/>
      <c r="J112" s="823"/>
    </row>
    <row r="113" spans="1:10" s="301" customFormat="1" ht="18.75" x14ac:dyDescent="0.25">
      <c r="A113" s="751">
        <v>6308200000</v>
      </c>
      <c r="B113" s="821" t="s">
        <v>1955</v>
      </c>
      <c r="C113" s="1345">
        <f>' дод1.3'!D20</f>
        <v>10000</v>
      </c>
      <c r="D113" s="822"/>
      <c r="E113" s="760">
        <f t="shared" si="4"/>
        <v>10000</v>
      </c>
      <c r="G113" s="826"/>
      <c r="H113" s="910"/>
      <c r="I113" s="910"/>
      <c r="J113" s="910"/>
    </row>
    <row r="114" spans="1:10" s="301" customFormat="1" ht="18.75" hidden="1" x14ac:dyDescent="0.25">
      <c r="A114" s="751" t="s">
        <v>526</v>
      </c>
      <c r="B114" s="821" t="s">
        <v>1060</v>
      </c>
      <c r="C114" s="1345">
        <f>'дод1.1без змін'!D87</f>
        <v>0</v>
      </c>
      <c r="D114" s="822"/>
      <c r="E114" s="760">
        <f t="shared" si="4"/>
        <v>0</v>
      </c>
      <c r="G114" s="826"/>
      <c r="H114" s="910"/>
      <c r="I114" s="910"/>
      <c r="J114" s="910"/>
    </row>
    <row r="115" spans="1:10" s="301" customFormat="1" ht="18.75" hidden="1" x14ac:dyDescent="0.25">
      <c r="A115" s="751" t="s">
        <v>527</v>
      </c>
      <c r="B115" s="821" t="s">
        <v>1069</v>
      </c>
      <c r="C115" s="1345">
        <f>'дод1.1без змін'!D98</f>
        <v>0</v>
      </c>
      <c r="D115" s="822"/>
      <c r="E115" s="760">
        <f t="shared" si="4"/>
        <v>0</v>
      </c>
      <c r="G115" s="826"/>
      <c r="H115" s="910"/>
      <c r="I115" s="910"/>
      <c r="J115" s="910"/>
    </row>
    <row r="116" spans="1:10" s="301" customFormat="1" ht="18.75" hidden="1" x14ac:dyDescent="0.25">
      <c r="A116" s="751" t="s">
        <v>528</v>
      </c>
      <c r="B116" s="821" t="s">
        <v>1070</v>
      </c>
      <c r="C116" s="1345">
        <f>'дод1.1без змін'!D109</f>
        <v>0</v>
      </c>
      <c r="D116" s="822"/>
      <c r="E116" s="760">
        <f t="shared" si="4"/>
        <v>0</v>
      </c>
      <c r="G116" s="826"/>
      <c r="H116" s="910"/>
      <c r="I116" s="910"/>
      <c r="J116" s="910"/>
    </row>
    <row r="117" spans="1:10" s="301" customFormat="1" ht="18.75" hidden="1" x14ac:dyDescent="0.25">
      <c r="A117" s="751" t="s">
        <v>529</v>
      </c>
      <c r="B117" s="821" t="s">
        <v>1071</v>
      </c>
      <c r="C117" s="1345">
        <f>'дод1.1без змін'!D120</f>
        <v>0</v>
      </c>
      <c r="D117" s="822"/>
      <c r="E117" s="760">
        <f t="shared" si="4"/>
        <v>0</v>
      </c>
      <c r="G117" s="826"/>
      <c r="H117" s="910"/>
      <c r="I117" s="910"/>
      <c r="J117" s="910"/>
    </row>
    <row r="118" spans="1:10" s="301" customFormat="1" ht="18.75" hidden="1" x14ac:dyDescent="0.25">
      <c r="A118" s="751" t="s">
        <v>530</v>
      </c>
      <c r="B118" s="821" t="s">
        <v>1072</v>
      </c>
      <c r="C118" s="1345">
        <f>'дод1.1без змін'!D131</f>
        <v>0</v>
      </c>
      <c r="D118" s="822"/>
      <c r="E118" s="760">
        <f t="shared" si="4"/>
        <v>0</v>
      </c>
      <c r="G118" s="826"/>
      <c r="H118" s="910"/>
      <c r="I118" s="910"/>
      <c r="J118" s="910"/>
    </row>
    <row r="119" spans="1:10" s="301" customFormat="1" ht="18.75" hidden="1" x14ac:dyDescent="0.25">
      <c r="A119" s="751" t="s">
        <v>531</v>
      </c>
      <c r="B119" s="821" t="s">
        <v>1073</v>
      </c>
      <c r="C119" s="1345">
        <f>'дод1.1без змін'!D142</f>
        <v>0</v>
      </c>
      <c r="D119" s="822"/>
      <c r="E119" s="760">
        <f t="shared" si="4"/>
        <v>0</v>
      </c>
      <c r="G119" s="826"/>
      <c r="H119" s="910"/>
      <c r="I119" s="910"/>
      <c r="J119" s="910"/>
    </row>
    <row r="120" spans="1:10" s="301" customFormat="1" ht="18.75" hidden="1" x14ac:dyDescent="0.25">
      <c r="A120" s="751" t="s">
        <v>532</v>
      </c>
      <c r="B120" s="821" t="s">
        <v>1074</v>
      </c>
      <c r="C120" s="1345">
        <f>'дод1.1без змін'!D153</f>
        <v>0</v>
      </c>
      <c r="D120" s="822"/>
      <c r="E120" s="760">
        <f t="shared" si="4"/>
        <v>0</v>
      </c>
      <c r="G120" s="826"/>
      <c r="H120" s="910"/>
      <c r="I120" s="910"/>
      <c r="J120" s="910"/>
    </row>
    <row r="121" spans="1:10" s="301" customFormat="1" ht="18.75" hidden="1" x14ac:dyDescent="0.25">
      <c r="A121" s="751" t="s">
        <v>533</v>
      </c>
      <c r="B121" s="821" t="s">
        <v>1075</v>
      </c>
      <c r="C121" s="1345">
        <f>'дод1.1без змін'!D164</f>
        <v>0</v>
      </c>
      <c r="D121" s="822"/>
      <c r="E121" s="760">
        <f t="shared" si="4"/>
        <v>0</v>
      </c>
      <c r="G121" s="826"/>
      <c r="H121" s="910"/>
      <c r="I121" s="910"/>
      <c r="J121" s="910"/>
    </row>
    <row r="122" spans="1:10" s="301" customFormat="1" ht="18.75" hidden="1" x14ac:dyDescent="0.25">
      <c r="A122" s="751" t="s">
        <v>534</v>
      </c>
      <c r="B122" s="821" t="s">
        <v>1076</v>
      </c>
      <c r="C122" s="1345">
        <f>'дод1.1без змін'!D175</f>
        <v>0</v>
      </c>
      <c r="D122" s="822"/>
      <c r="E122" s="760">
        <f t="shared" si="4"/>
        <v>0</v>
      </c>
      <c r="G122" s="826"/>
      <c r="H122" s="910"/>
      <c r="I122" s="910"/>
      <c r="J122" s="910"/>
    </row>
    <row r="123" spans="1:10" s="301" customFormat="1" ht="18.75" hidden="1" x14ac:dyDescent="0.25">
      <c r="A123" s="751" t="s">
        <v>535</v>
      </c>
      <c r="B123" s="821" t="s">
        <v>1077</v>
      </c>
      <c r="C123" s="1345">
        <f>'дод1.1без змін'!D186</f>
        <v>0</v>
      </c>
      <c r="D123" s="822"/>
      <c r="E123" s="760">
        <f t="shared" si="4"/>
        <v>0</v>
      </c>
      <c r="G123" s="826"/>
      <c r="H123" s="910"/>
      <c r="I123" s="910"/>
      <c r="J123" s="910"/>
    </row>
    <row r="124" spans="1:10" s="301" customFormat="1" ht="18.75" hidden="1" x14ac:dyDescent="0.25">
      <c r="A124" s="751" t="s">
        <v>536</v>
      </c>
      <c r="B124" s="821" t="s">
        <v>1078</v>
      </c>
      <c r="C124" s="1345">
        <f>'дод1.1без змін'!D197</f>
        <v>0</v>
      </c>
      <c r="D124" s="822"/>
      <c r="E124" s="760">
        <f t="shared" si="4"/>
        <v>0</v>
      </c>
      <c r="G124" s="826"/>
      <c r="H124" s="910"/>
      <c r="I124" s="910"/>
      <c r="J124" s="910"/>
    </row>
    <row r="125" spans="1:10" s="301" customFormat="1" ht="18.75" hidden="1" x14ac:dyDescent="0.25">
      <c r="A125" s="751" t="s">
        <v>537</v>
      </c>
      <c r="B125" s="821" t="s">
        <v>1079</v>
      </c>
      <c r="C125" s="1345">
        <f>'дод1.1без змін'!D208</f>
        <v>0</v>
      </c>
      <c r="D125" s="822"/>
      <c r="E125" s="760">
        <f t="shared" si="4"/>
        <v>0</v>
      </c>
      <c r="G125" s="826"/>
      <c r="H125" s="910"/>
      <c r="I125" s="910"/>
      <c r="J125" s="910"/>
    </row>
    <row r="126" spans="1:10" s="301" customFormat="1" ht="18.75" hidden="1" x14ac:dyDescent="0.25">
      <c r="A126" s="751" t="s">
        <v>538</v>
      </c>
      <c r="B126" s="821" t="s">
        <v>1080</v>
      </c>
      <c r="C126" s="1345">
        <f>'дод1.1без змін'!D219</f>
        <v>0</v>
      </c>
      <c r="D126" s="822"/>
      <c r="E126" s="760">
        <f t="shared" si="4"/>
        <v>0</v>
      </c>
      <c r="G126" s="826"/>
      <c r="H126" s="910"/>
      <c r="I126" s="910"/>
      <c r="J126" s="910"/>
    </row>
    <row r="127" spans="1:10" s="301" customFormat="1" ht="18.75" hidden="1" x14ac:dyDescent="0.25">
      <c r="A127" s="751" t="s">
        <v>539</v>
      </c>
      <c r="B127" s="821" t="s">
        <v>1081</v>
      </c>
      <c r="C127" s="1345">
        <f>'дод1.1без змін'!D230</f>
        <v>0</v>
      </c>
      <c r="D127" s="822"/>
      <c r="E127" s="760">
        <f t="shared" si="4"/>
        <v>0</v>
      </c>
      <c r="G127" s="826"/>
      <c r="H127" s="910"/>
      <c r="I127" s="910"/>
      <c r="J127" s="910"/>
    </row>
    <row r="128" spans="1:10" s="301" customFormat="1" ht="18.75" hidden="1" x14ac:dyDescent="0.25">
      <c r="A128" s="751" t="s">
        <v>540</v>
      </c>
      <c r="B128" s="821" t="s">
        <v>1082</v>
      </c>
      <c r="C128" s="1345">
        <f>'дод1.1без змін'!D241</f>
        <v>0</v>
      </c>
      <c r="D128" s="822"/>
      <c r="E128" s="760">
        <f t="shared" si="4"/>
        <v>0</v>
      </c>
      <c r="G128" s="826"/>
      <c r="H128" s="910"/>
      <c r="I128" s="910"/>
      <c r="J128" s="910"/>
    </row>
    <row r="129" spans="1:10" s="301" customFormat="1" ht="18.75" hidden="1" x14ac:dyDescent="0.25">
      <c r="A129" s="751" t="s">
        <v>541</v>
      </c>
      <c r="B129" s="821" t="s">
        <v>1083</v>
      </c>
      <c r="C129" s="1345">
        <f>'дод1.1без змін'!D252</f>
        <v>0</v>
      </c>
      <c r="D129" s="822"/>
      <c r="E129" s="760">
        <f t="shared" si="4"/>
        <v>0</v>
      </c>
      <c r="G129" s="826"/>
      <c r="H129" s="910"/>
      <c r="I129" s="910"/>
      <c r="J129" s="910"/>
    </row>
    <row r="130" spans="1:10" s="301" customFormat="1" ht="18.75" hidden="1" x14ac:dyDescent="0.25">
      <c r="A130" s="751" t="s">
        <v>542</v>
      </c>
      <c r="B130" s="821" t="s">
        <v>1084</v>
      </c>
      <c r="C130" s="1345">
        <f>'дод1.1без змін'!D263</f>
        <v>0</v>
      </c>
      <c r="D130" s="822"/>
      <c r="E130" s="760">
        <f t="shared" si="4"/>
        <v>0</v>
      </c>
      <c r="G130" s="826"/>
      <c r="H130" s="910"/>
      <c r="I130" s="910"/>
      <c r="J130" s="910"/>
    </row>
    <row r="131" spans="1:10" s="301" customFormat="1" ht="18.75" hidden="1" x14ac:dyDescent="0.25">
      <c r="A131" s="751" t="s">
        <v>543</v>
      </c>
      <c r="B131" s="821" t="s">
        <v>1085</v>
      </c>
      <c r="C131" s="1345">
        <f>'дод1.1без змін'!D274</f>
        <v>0</v>
      </c>
      <c r="D131" s="822"/>
      <c r="E131" s="760">
        <f t="shared" si="4"/>
        <v>0</v>
      </c>
      <c r="G131" s="826"/>
      <c r="H131" s="910"/>
      <c r="I131" s="910"/>
      <c r="J131" s="910"/>
    </row>
    <row r="132" spans="1:10" s="301" customFormat="1" ht="18.75" hidden="1" x14ac:dyDescent="0.25">
      <c r="A132" s="751" t="s">
        <v>544</v>
      </c>
      <c r="B132" s="821" t="s">
        <v>1086</v>
      </c>
      <c r="C132" s="1345">
        <f>'дод1.1без змін'!D285</f>
        <v>0</v>
      </c>
      <c r="D132" s="822"/>
      <c r="E132" s="760">
        <f t="shared" si="4"/>
        <v>0</v>
      </c>
      <c r="G132" s="826"/>
      <c r="H132" s="910"/>
      <c r="I132" s="910"/>
      <c r="J132" s="910"/>
    </row>
    <row r="133" spans="1:10" s="301" customFormat="1" ht="18.75" hidden="1" x14ac:dyDescent="0.25">
      <c r="A133" s="751" t="s">
        <v>545</v>
      </c>
      <c r="B133" s="821" t="s">
        <v>1087</v>
      </c>
      <c r="C133" s="1345">
        <f>'дод1.1без змін'!D296</f>
        <v>0</v>
      </c>
      <c r="D133" s="822"/>
      <c r="E133" s="760">
        <f t="shared" si="4"/>
        <v>0</v>
      </c>
      <c r="G133" s="826"/>
      <c r="H133" s="910"/>
      <c r="I133" s="910"/>
      <c r="J133" s="910"/>
    </row>
    <row r="134" spans="1:10" s="301" customFormat="1" ht="18.75" hidden="1" x14ac:dyDescent="0.25">
      <c r="A134" s="751" t="s">
        <v>546</v>
      </c>
      <c r="B134" s="821" t="s">
        <v>1088</v>
      </c>
      <c r="C134" s="1345">
        <f>'дод1.1без змін'!D307</f>
        <v>0</v>
      </c>
      <c r="D134" s="822"/>
      <c r="E134" s="760">
        <f t="shared" si="4"/>
        <v>0</v>
      </c>
      <c r="G134" s="826"/>
      <c r="H134" s="910"/>
      <c r="I134" s="910"/>
      <c r="J134" s="910"/>
    </row>
    <row r="135" spans="1:10" s="301" customFormat="1" ht="18.75" hidden="1" x14ac:dyDescent="0.25">
      <c r="A135" s="751" t="s">
        <v>547</v>
      </c>
      <c r="B135" s="821" t="s">
        <v>1089</v>
      </c>
      <c r="C135" s="1345">
        <f>'дод1.1без змін'!D318</f>
        <v>0</v>
      </c>
      <c r="D135" s="822"/>
      <c r="E135" s="760">
        <f t="shared" si="4"/>
        <v>0</v>
      </c>
      <c r="G135" s="826"/>
      <c r="H135" s="910"/>
      <c r="I135" s="910"/>
      <c r="J135" s="910"/>
    </row>
    <row r="136" spans="1:10" s="301" customFormat="1" ht="18.75" hidden="1" x14ac:dyDescent="0.25">
      <c r="A136" s="751" t="s">
        <v>548</v>
      </c>
      <c r="B136" s="821" t="s">
        <v>1090</v>
      </c>
      <c r="C136" s="1345">
        <f>'дод1.1без змін'!D329</f>
        <v>0</v>
      </c>
      <c r="D136" s="822"/>
      <c r="E136" s="760">
        <f t="shared" si="4"/>
        <v>0</v>
      </c>
      <c r="G136" s="826"/>
      <c r="H136" s="910"/>
      <c r="I136" s="910"/>
      <c r="J136" s="910"/>
    </row>
    <row r="137" spans="1:10" s="301" customFormat="1" ht="18.75" hidden="1" x14ac:dyDescent="0.25">
      <c r="A137" s="751" t="s">
        <v>549</v>
      </c>
      <c r="B137" s="821" t="s">
        <v>1091</v>
      </c>
      <c r="C137" s="1345">
        <f>'дод1.1без змін'!D340</f>
        <v>0</v>
      </c>
      <c r="D137" s="822"/>
      <c r="E137" s="760">
        <f t="shared" si="4"/>
        <v>0</v>
      </c>
      <c r="G137" s="826"/>
      <c r="H137" s="910"/>
      <c r="I137" s="910"/>
      <c r="J137" s="910"/>
    </row>
    <row r="138" spans="1:10" s="301" customFormat="1" ht="18.75" hidden="1" x14ac:dyDescent="0.25">
      <c r="A138" s="751" t="s">
        <v>550</v>
      </c>
      <c r="B138" s="821" t="s">
        <v>1092</v>
      </c>
      <c r="C138" s="1345">
        <f>'дод1.1без змін'!D351</f>
        <v>0</v>
      </c>
      <c r="D138" s="822"/>
      <c r="E138" s="760">
        <f t="shared" si="4"/>
        <v>0</v>
      </c>
      <c r="G138" s="826"/>
      <c r="H138" s="910"/>
      <c r="I138" s="910"/>
      <c r="J138" s="910"/>
    </row>
    <row r="139" spans="1:10" s="301" customFormat="1" ht="18.75" hidden="1" x14ac:dyDescent="0.25">
      <c r="A139" s="751" t="s">
        <v>551</v>
      </c>
      <c r="B139" s="821" t="s">
        <v>1093</v>
      </c>
      <c r="C139" s="1345">
        <f>'дод1.1без змін'!D362</f>
        <v>0</v>
      </c>
      <c r="D139" s="822"/>
      <c r="E139" s="760">
        <f t="shared" si="4"/>
        <v>0</v>
      </c>
      <c r="G139" s="826"/>
      <c r="H139" s="910"/>
      <c r="I139" s="910"/>
      <c r="J139" s="910"/>
    </row>
    <row r="140" spans="1:10" s="301" customFormat="1" ht="18.75" hidden="1" x14ac:dyDescent="0.25">
      <c r="A140" s="751" t="s">
        <v>552</v>
      </c>
      <c r="B140" s="821" t="s">
        <v>1094</v>
      </c>
      <c r="C140" s="1345">
        <f>'дод1.1без змін'!D373</f>
        <v>0</v>
      </c>
      <c r="D140" s="822"/>
      <c r="E140" s="760">
        <f t="shared" si="4"/>
        <v>0</v>
      </c>
      <c r="G140" s="826"/>
      <c r="H140" s="910"/>
      <c r="I140" s="910"/>
      <c r="J140" s="910"/>
    </row>
    <row r="141" spans="1:10" s="301" customFormat="1" ht="18.75" hidden="1" x14ac:dyDescent="0.25">
      <c r="A141" s="751" t="s">
        <v>553</v>
      </c>
      <c r="B141" s="821" t="s">
        <v>1095</v>
      </c>
      <c r="C141" s="1345">
        <f>'дод1.1без змін'!D384</f>
        <v>0</v>
      </c>
      <c r="D141" s="822"/>
      <c r="E141" s="760">
        <f t="shared" si="4"/>
        <v>0</v>
      </c>
      <c r="G141" s="826"/>
      <c r="H141" s="910"/>
      <c r="I141" s="910"/>
      <c r="J141" s="910"/>
    </row>
    <row r="142" spans="1:10" s="301" customFormat="1" ht="18.75" x14ac:dyDescent="0.25">
      <c r="A142" s="751" t="s">
        <v>554</v>
      </c>
      <c r="B142" s="821" t="s">
        <v>1096</v>
      </c>
      <c r="C142" s="1345">
        <f>' дод1.3'!D338</f>
        <v>49900</v>
      </c>
      <c r="D142" s="822"/>
      <c r="E142" s="760">
        <f t="shared" si="4"/>
        <v>49900</v>
      </c>
      <c r="G142" s="826"/>
      <c r="H142" s="910"/>
      <c r="I142" s="910"/>
      <c r="J142" s="910"/>
    </row>
    <row r="143" spans="1:10" s="301" customFormat="1" ht="18.75" hidden="1" x14ac:dyDescent="0.25">
      <c r="A143" s="751" t="s">
        <v>555</v>
      </c>
      <c r="B143" s="821" t="s">
        <v>1097</v>
      </c>
      <c r="C143" s="1345">
        <f>'дод1.1без змін'!D406</f>
        <v>0</v>
      </c>
      <c r="D143" s="822"/>
      <c r="E143" s="760">
        <f t="shared" si="4"/>
        <v>0</v>
      </c>
      <c r="G143" s="826"/>
      <c r="H143" s="910"/>
      <c r="I143" s="910"/>
      <c r="J143" s="910"/>
    </row>
    <row r="144" spans="1:10" s="301" customFormat="1" ht="18.75" hidden="1" x14ac:dyDescent="0.25">
      <c r="A144" s="751" t="s">
        <v>556</v>
      </c>
      <c r="B144" s="821" t="s">
        <v>1098</v>
      </c>
      <c r="C144" s="1345">
        <f>'дод1.1без змін'!D417</f>
        <v>0</v>
      </c>
      <c r="D144" s="822"/>
      <c r="E144" s="760">
        <f t="shared" si="4"/>
        <v>0</v>
      </c>
      <c r="G144" s="826"/>
      <c r="H144" s="910"/>
      <c r="I144" s="910"/>
      <c r="J144" s="910"/>
    </row>
    <row r="145" spans="1:10" s="301" customFormat="1" ht="18.75" hidden="1" x14ac:dyDescent="0.25">
      <c r="A145" s="751" t="s">
        <v>557</v>
      </c>
      <c r="B145" s="821" t="s">
        <v>1099</v>
      </c>
      <c r="C145" s="1345">
        <f>'дод1.1без змін'!D428</f>
        <v>0</v>
      </c>
      <c r="D145" s="822"/>
      <c r="E145" s="760">
        <f t="shared" si="4"/>
        <v>0</v>
      </c>
      <c r="G145" s="826"/>
      <c r="H145" s="910"/>
      <c r="I145" s="910"/>
      <c r="J145" s="910"/>
    </row>
    <row r="146" spans="1:10" s="301" customFormat="1" ht="18.75" hidden="1" x14ac:dyDescent="0.25">
      <c r="A146" s="751" t="s">
        <v>558</v>
      </c>
      <c r="B146" s="821" t="s">
        <v>1100</v>
      </c>
      <c r="C146" s="1345">
        <f>'дод1.1без змін'!D439</f>
        <v>0</v>
      </c>
      <c r="D146" s="822"/>
      <c r="E146" s="760">
        <f t="shared" si="4"/>
        <v>0</v>
      </c>
      <c r="G146" s="826"/>
      <c r="H146" s="910"/>
      <c r="I146" s="910"/>
      <c r="J146" s="910"/>
    </row>
    <row r="147" spans="1:10" s="301" customFormat="1" ht="18.75" hidden="1" x14ac:dyDescent="0.25">
      <c r="A147" s="751" t="s">
        <v>559</v>
      </c>
      <c r="B147" s="821" t="s">
        <v>1101</v>
      </c>
      <c r="C147" s="1345">
        <f>'дод1.1без змін'!D450</f>
        <v>0</v>
      </c>
      <c r="D147" s="822"/>
      <c r="E147" s="760">
        <f t="shared" si="4"/>
        <v>0</v>
      </c>
      <c r="G147" s="826"/>
      <c r="H147" s="910"/>
      <c r="I147" s="910"/>
      <c r="J147" s="910"/>
    </row>
    <row r="148" spans="1:10" s="301" customFormat="1" ht="18.75" hidden="1" x14ac:dyDescent="0.25">
      <c r="A148" s="751" t="s">
        <v>560</v>
      </c>
      <c r="B148" s="821" t="s">
        <v>1102</v>
      </c>
      <c r="C148" s="1345">
        <f>'дод1.1без змін'!D461</f>
        <v>0</v>
      </c>
      <c r="D148" s="822"/>
      <c r="E148" s="760">
        <f t="shared" si="4"/>
        <v>0</v>
      </c>
      <c r="G148" s="826"/>
      <c r="H148" s="910"/>
      <c r="I148" s="910"/>
      <c r="J148" s="910"/>
    </row>
    <row r="149" spans="1:10" s="301" customFormat="1" ht="18.75" hidden="1" x14ac:dyDescent="0.25">
      <c r="A149" s="751" t="s">
        <v>561</v>
      </c>
      <c r="B149" s="821" t="s">
        <v>1103</v>
      </c>
      <c r="C149" s="1345">
        <f>'дод1.1без змін'!D472</f>
        <v>0</v>
      </c>
      <c r="D149" s="822"/>
      <c r="E149" s="760">
        <f t="shared" si="4"/>
        <v>0</v>
      </c>
      <c r="G149" s="826"/>
      <c r="H149" s="910"/>
      <c r="I149" s="910"/>
      <c r="J149" s="910"/>
    </row>
    <row r="150" spans="1:10" s="301" customFormat="1" ht="18.75" x14ac:dyDescent="0.25">
      <c r="A150" s="751" t="s">
        <v>562</v>
      </c>
      <c r="B150" s="821" t="s">
        <v>1104</v>
      </c>
      <c r="C150" s="1345">
        <f>' дод1.3'!D426</f>
        <v>100000</v>
      </c>
      <c r="D150" s="822"/>
      <c r="E150" s="760">
        <f t="shared" si="4"/>
        <v>100000</v>
      </c>
      <c r="G150" s="826"/>
      <c r="H150" s="910"/>
      <c r="I150" s="910"/>
      <c r="J150" s="910"/>
    </row>
    <row r="151" spans="1:10" s="301" customFormat="1" ht="18.75" hidden="1" x14ac:dyDescent="0.25">
      <c r="A151" s="751" t="s">
        <v>563</v>
      </c>
      <c r="B151" s="821" t="s">
        <v>1105</v>
      </c>
      <c r="C151" s="1345">
        <f>'дод1.1без змін'!D494</f>
        <v>0</v>
      </c>
      <c r="D151" s="822"/>
      <c r="E151" s="760">
        <f t="shared" si="4"/>
        <v>0</v>
      </c>
      <c r="G151" s="826"/>
      <c r="H151" s="910"/>
      <c r="I151" s="910"/>
      <c r="J151" s="910"/>
    </row>
    <row r="152" spans="1:10" s="301" customFormat="1" ht="18.75" hidden="1" x14ac:dyDescent="0.25">
      <c r="A152" s="751" t="s">
        <v>564</v>
      </c>
      <c r="B152" s="821" t="s">
        <v>1106</v>
      </c>
      <c r="C152" s="1345">
        <f>'дод1.1без змін'!D505</f>
        <v>0</v>
      </c>
      <c r="D152" s="822"/>
      <c r="E152" s="760">
        <f t="shared" si="4"/>
        <v>0</v>
      </c>
      <c r="G152" s="826"/>
      <c r="H152" s="910"/>
      <c r="I152" s="910"/>
      <c r="J152" s="910"/>
    </row>
    <row r="153" spans="1:10" s="301" customFormat="1" ht="18.75" x14ac:dyDescent="0.25">
      <c r="A153" s="751" t="s">
        <v>565</v>
      </c>
      <c r="B153" s="821" t="s">
        <v>1107</v>
      </c>
      <c r="C153" s="1345">
        <f>' дод1.3'!D459</f>
        <v>298500</v>
      </c>
      <c r="D153" s="822"/>
      <c r="E153" s="760">
        <f t="shared" si="4"/>
        <v>298500</v>
      </c>
      <c r="G153" s="826"/>
      <c r="H153" s="910"/>
      <c r="I153" s="910"/>
      <c r="J153" s="910"/>
    </row>
    <row r="154" spans="1:10" s="301" customFormat="1" ht="18.75" hidden="1" x14ac:dyDescent="0.25">
      <c r="A154" s="751" t="s">
        <v>566</v>
      </c>
      <c r="B154" s="821" t="s">
        <v>1108</v>
      </c>
      <c r="C154" s="1345">
        <f>'дод1.1без змін'!D527</f>
        <v>0</v>
      </c>
      <c r="D154" s="822"/>
      <c r="E154" s="760">
        <f t="shared" si="4"/>
        <v>0</v>
      </c>
      <c r="G154" s="826"/>
      <c r="H154" s="910"/>
      <c r="I154" s="910"/>
      <c r="J154" s="910"/>
    </row>
    <row r="155" spans="1:10" s="301" customFormat="1" ht="18.75" hidden="1" x14ac:dyDescent="0.25">
      <c r="A155" s="751" t="s">
        <v>567</v>
      </c>
      <c r="B155" s="821" t="s">
        <v>1109</v>
      </c>
      <c r="C155" s="1345">
        <f>'дод1.1без змін'!D538</f>
        <v>0</v>
      </c>
      <c r="D155" s="822"/>
      <c r="E155" s="760">
        <f t="shared" si="4"/>
        <v>0</v>
      </c>
      <c r="G155" s="826"/>
      <c r="H155" s="910"/>
      <c r="I155" s="910"/>
      <c r="J155" s="910"/>
    </row>
    <row r="156" spans="1:10" s="301" customFormat="1" ht="18.75" hidden="1" x14ac:dyDescent="0.25">
      <c r="A156" s="751" t="s">
        <v>780</v>
      </c>
      <c r="B156" s="821" t="s">
        <v>1110</v>
      </c>
      <c r="C156" s="1345">
        <f>'дод1.1без змін'!D549</f>
        <v>0</v>
      </c>
      <c r="D156" s="822"/>
      <c r="E156" s="760">
        <f t="shared" si="4"/>
        <v>0</v>
      </c>
      <c r="G156" s="826"/>
      <c r="H156" s="910"/>
      <c r="I156" s="910"/>
      <c r="J156" s="910"/>
    </row>
    <row r="157" spans="1:10" s="301" customFormat="1" ht="18.75" hidden="1" x14ac:dyDescent="0.25">
      <c r="A157" s="751" t="s">
        <v>781</v>
      </c>
      <c r="B157" s="821" t="s">
        <v>1111</v>
      </c>
      <c r="C157" s="1345">
        <f>'дод1.1без змін'!D560</f>
        <v>0</v>
      </c>
      <c r="D157" s="822"/>
      <c r="E157" s="760">
        <f t="shared" ref="E157:E220" si="5">C157</f>
        <v>0</v>
      </c>
      <c r="G157" s="826"/>
      <c r="H157" s="910"/>
      <c r="I157" s="910"/>
      <c r="J157" s="910"/>
    </row>
    <row r="158" spans="1:10" s="301" customFormat="1" ht="18.75" hidden="1" x14ac:dyDescent="0.25">
      <c r="A158" s="751" t="s">
        <v>782</v>
      </c>
      <c r="B158" s="821" t="s">
        <v>1112</v>
      </c>
      <c r="C158" s="1345">
        <f>'дод1.1без змін'!D571</f>
        <v>0</v>
      </c>
      <c r="D158" s="822"/>
      <c r="E158" s="760">
        <f t="shared" si="5"/>
        <v>0</v>
      </c>
      <c r="G158" s="826"/>
      <c r="H158" s="910"/>
      <c r="I158" s="910"/>
      <c r="J158" s="910"/>
    </row>
    <row r="159" spans="1:10" s="301" customFormat="1" ht="18.75" hidden="1" x14ac:dyDescent="0.25">
      <c r="A159" s="751" t="s">
        <v>783</v>
      </c>
      <c r="B159" s="821" t="s">
        <v>1113</v>
      </c>
      <c r="C159" s="1345">
        <f>'дод1.1без змін'!D582</f>
        <v>0</v>
      </c>
      <c r="D159" s="822"/>
      <c r="E159" s="760">
        <f t="shared" si="5"/>
        <v>0</v>
      </c>
      <c r="G159" s="826"/>
      <c r="H159" s="910"/>
      <c r="I159" s="910"/>
      <c r="J159" s="910"/>
    </row>
    <row r="160" spans="1:10" s="301" customFormat="1" ht="18.75" hidden="1" x14ac:dyDescent="0.25">
      <c r="A160" s="751" t="s">
        <v>784</v>
      </c>
      <c r="B160" s="821" t="s">
        <v>1114</v>
      </c>
      <c r="C160" s="1345">
        <f>'дод1.1без змін'!D593</f>
        <v>0</v>
      </c>
      <c r="D160" s="822"/>
      <c r="E160" s="760">
        <f t="shared" si="5"/>
        <v>0</v>
      </c>
      <c r="G160" s="826"/>
      <c r="H160" s="910"/>
      <c r="I160" s="910"/>
      <c r="J160" s="910"/>
    </row>
    <row r="161" spans="1:10" s="301" customFormat="1" ht="18.75" hidden="1" x14ac:dyDescent="0.25">
      <c r="A161" s="751" t="s">
        <v>785</v>
      </c>
      <c r="B161" s="821" t="s">
        <v>1115</v>
      </c>
      <c r="C161" s="1345">
        <f>'дод1.1без змін'!D604</f>
        <v>0</v>
      </c>
      <c r="D161" s="822"/>
      <c r="E161" s="760">
        <f t="shared" si="5"/>
        <v>0</v>
      </c>
      <c r="G161" s="826"/>
      <c r="H161" s="910"/>
      <c r="I161" s="910"/>
      <c r="J161" s="910"/>
    </row>
    <row r="162" spans="1:10" s="301" customFormat="1" ht="18.75" hidden="1" x14ac:dyDescent="0.25">
      <c r="A162" s="751" t="s">
        <v>910</v>
      </c>
      <c r="B162" s="821" t="s">
        <v>1116</v>
      </c>
      <c r="C162" s="1345">
        <f>'дод1.1без змін'!D615</f>
        <v>0</v>
      </c>
      <c r="D162" s="822"/>
      <c r="E162" s="760">
        <f t="shared" si="5"/>
        <v>0</v>
      </c>
      <c r="G162" s="826"/>
      <c r="H162" s="910"/>
      <c r="I162" s="910"/>
      <c r="J162" s="910"/>
    </row>
    <row r="163" spans="1:10" s="301" customFormat="1" ht="18.75" x14ac:dyDescent="0.25">
      <c r="A163" s="751" t="s">
        <v>911</v>
      </c>
      <c r="B163" s="821" t="s">
        <v>1117</v>
      </c>
      <c r="C163" s="1345">
        <f>' дод1.3'!D569</f>
        <v>570290</v>
      </c>
      <c r="D163" s="822"/>
      <c r="E163" s="760">
        <f t="shared" si="5"/>
        <v>570290</v>
      </c>
      <c r="G163" s="826"/>
      <c r="H163" s="910"/>
      <c r="I163" s="910"/>
      <c r="J163" s="910"/>
    </row>
    <row r="164" spans="1:10" s="301" customFormat="1" ht="18.75" hidden="1" x14ac:dyDescent="0.25">
      <c r="A164" s="751" t="s">
        <v>1118</v>
      </c>
      <c r="B164" s="821" t="s">
        <v>1119</v>
      </c>
      <c r="C164" s="1345">
        <f>'дод1.1без змін'!D637</f>
        <v>0</v>
      </c>
      <c r="D164" s="822"/>
      <c r="E164" s="760">
        <f t="shared" si="5"/>
        <v>0</v>
      </c>
      <c r="G164" s="826"/>
      <c r="H164" s="910"/>
      <c r="I164" s="910"/>
      <c r="J164" s="910"/>
    </row>
    <row r="165" spans="1:10" s="301" customFormat="1" ht="18.75" hidden="1" x14ac:dyDescent="0.25">
      <c r="A165" s="751" t="s">
        <v>1120</v>
      </c>
      <c r="B165" s="821" t="s">
        <v>1121</v>
      </c>
      <c r="C165" s="1345">
        <f>'дод1.1без змін'!D648</f>
        <v>0</v>
      </c>
      <c r="D165" s="822"/>
      <c r="E165" s="760">
        <f t="shared" si="5"/>
        <v>0</v>
      </c>
      <c r="G165" s="826"/>
      <c r="H165" s="910"/>
      <c r="I165" s="910"/>
      <c r="J165" s="910"/>
    </row>
    <row r="166" spans="1:10" s="301" customFormat="1" ht="18.75" hidden="1" x14ac:dyDescent="0.25">
      <c r="A166" s="751" t="s">
        <v>1122</v>
      </c>
      <c r="B166" s="821" t="s">
        <v>1123</v>
      </c>
      <c r="C166" s="1345">
        <f>'дод1.1без змін'!D659</f>
        <v>0</v>
      </c>
      <c r="D166" s="822"/>
      <c r="E166" s="760">
        <f t="shared" si="5"/>
        <v>0</v>
      </c>
      <c r="G166" s="826"/>
      <c r="H166" s="910"/>
      <c r="I166" s="910"/>
      <c r="J166" s="910"/>
    </row>
    <row r="167" spans="1:10" s="301" customFormat="1" ht="18.75" hidden="1" x14ac:dyDescent="0.25">
      <c r="A167" s="751" t="s">
        <v>1124</v>
      </c>
      <c r="B167" s="821" t="s">
        <v>1125</v>
      </c>
      <c r="C167" s="1345">
        <f>'дод1.1без змін'!D670</f>
        <v>0</v>
      </c>
      <c r="D167" s="822"/>
      <c r="E167" s="760">
        <f t="shared" si="5"/>
        <v>0</v>
      </c>
      <c r="G167" s="826"/>
      <c r="H167" s="910"/>
      <c r="I167" s="910"/>
      <c r="J167" s="910"/>
    </row>
    <row r="168" spans="1:10" s="301" customFormat="1" ht="18.75" hidden="1" x14ac:dyDescent="0.25">
      <c r="A168" s="751" t="s">
        <v>1126</v>
      </c>
      <c r="B168" s="821" t="s">
        <v>1127</v>
      </c>
      <c r="C168" s="1345">
        <f>'дод1.1без змін'!D681</f>
        <v>0</v>
      </c>
      <c r="D168" s="822"/>
      <c r="E168" s="760">
        <f t="shared" si="5"/>
        <v>0</v>
      </c>
      <c r="G168" s="826"/>
      <c r="H168" s="910"/>
      <c r="I168" s="910"/>
      <c r="J168" s="910"/>
    </row>
    <row r="169" spans="1:10" s="301" customFormat="1" ht="18.75" hidden="1" x14ac:dyDescent="0.25">
      <c r="A169" s="751" t="s">
        <v>1128</v>
      </c>
      <c r="B169" s="821" t="s">
        <v>1129</v>
      </c>
      <c r="C169" s="1345">
        <f>'дод1.1без змін'!D692</f>
        <v>0</v>
      </c>
      <c r="D169" s="822"/>
      <c r="E169" s="760">
        <f t="shared" si="5"/>
        <v>0</v>
      </c>
      <c r="G169" s="826"/>
      <c r="H169" s="910"/>
      <c r="I169" s="910"/>
      <c r="J169" s="910"/>
    </row>
    <row r="170" spans="1:10" s="301" customFormat="1" ht="18.75" hidden="1" x14ac:dyDescent="0.25">
      <c r="A170" s="751" t="s">
        <v>1130</v>
      </c>
      <c r="B170" s="821" t="s">
        <v>1131</v>
      </c>
      <c r="C170" s="1345">
        <f>'дод1.1без змін'!D703</f>
        <v>0</v>
      </c>
      <c r="D170" s="822"/>
      <c r="E170" s="760">
        <f t="shared" si="5"/>
        <v>0</v>
      </c>
      <c r="G170" s="826"/>
      <c r="H170" s="910"/>
      <c r="I170" s="910"/>
      <c r="J170" s="910"/>
    </row>
    <row r="171" spans="1:10" s="301" customFormat="1" ht="18.75" hidden="1" x14ac:dyDescent="0.25">
      <c r="A171" s="751" t="s">
        <v>1132</v>
      </c>
      <c r="B171" s="821" t="s">
        <v>1133</v>
      </c>
      <c r="C171" s="1345">
        <f>'дод1.1без змін'!D714</f>
        <v>0</v>
      </c>
      <c r="D171" s="822"/>
      <c r="E171" s="760">
        <f t="shared" si="5"/>
        <v>0</v>
      </c>
      <c r="G171" s="826"/>
      <c r="H171" s="910"/>
      <c r="I171" s="910"/>
      <c r="J171" s="910"/>
    </row>
    <row r="172" spans="1:10" s="301" customFormat="1" ht="18.75" hidden="1" x14ac:dyDescent="0.25">
      <c r="A172" s="751" t="s">
        <v>1134</v>
      </c>
      <c r="B172" s="821" t="s">
        <v>1135</v>
      </c>
      <c r="C172" s="1345">
        <f>'дод1.1без змін'!D725</f>
        <v>0</v>
      </c>
      <c r="D172" s="822"/>
      <c r="E172" s="760">
        <f t="shared" si="5"/>
        <v>0</v>
      </c>
      <c r="G172" s="826"/>
      <c r="H172" s="910"/>
      <c r="I172" s="910"/>
      <c r="J172" s="910"/>
    </row>
    <row r="173" spans="1:10" s="301" customFormat="1" ht="18.75" hidden="1" x14ac:dyDescent="0.25">
      <c r="A173" s="751" t="s">
        <v>1136</v>
      </c>
      <c r="B173" s="821" t="s">
        <v>1137</v>
      </c>
      <c r="C173" s="1345">
        <v>0</v>
      </c>
      <c r="D173" s="822"/>
      <c r="E173" s="760">
        <f t="shared" si="5"/>
        <v>0</v>
      </c>
      <c r="G173" s="826"/>
      <c r="H173" s="910"/>
      <c r="I173" s="910"/>
      <c r="J173" s="910"/>
    </row>
    <row r="174" spans="1:10" s="301" customFormat="1" ht="18.75" hidden="1" x14ac:dyDescent="0.25">
      <c r="A174" s="751" t="s">
        <v>1138</v>
      </c>
      <c r="B174" s="821" t="s">
        <v>1139</v>
      </c>
      <c r="C174" s="1345">
        <f>'дод1.1без змін'!D747</f>
        <v>0</v>
      </c>
      <c r="D174" s="822"/>
      <c r="E174" s="760">
        <f t="shared" si="5"/>
        <v>0</v>
      </c>
      <c r="G174" s="826"/>
      <c r="H174" s="910"/>
      <c r="I174" s="910"/>
      <c r="J174" s="910"/>
    </row>
    <row r="175" spans="1:10" s="301" customFormat="1" ht="18.75" hidden="1" x14ac:dyDescent="0.25">
      <c r="A175" s="751" t="s">
        <v>1140</v>
      </c>
      <c r="B175" s="821" t="s">
        <v>1141</v>
      </c>
      <c r="C175" s="1345">
        <f>'дод1.1без змін'!D758</f>
        <v>0</v>
      </c>
      <c r="D175" s="822"/>
      <c r="E175" s="760">
        <f t="shared" si="5"/>
        <v>0</v>
      </c>
      <c r="G175" s="826"/>
      <c r="H175" s="910"/>
      <c r="I175" s="910"/>
      <c r="J175" s="910"/>
    </row>
    <row r="176" spans="1:10" s="301" customFormat="1" ht="18.75" hidden="1" x14ac:dyDescent="0.25">
      <c r="A176" s="751" t="s">
        <v>1142</v>
      </c>
      <c r="B176" s="821" t="s">
        <v>1143</v>
      </c>
      <c r="C176" s="1345">
        <f>'дод1.1без змін'!D769</f>
        <v>0</v>
      </c>
      <c r="D176" s="822"/>
      <c r="E176" s="760">
        <f t="shared" si="5"/>
        <v>0</v>
      </c>
      <c r="G176" s="826"/>
      <c r="H176" s="910"/>
      <c r="I176" s="910"/>
      <c r="J176" s="910"/>
    </row>
    <row r="177" spans="1:10" s="301" customFormat="1" ht="18.75" hidden="1" x14ac:dyDescent="0.25">
      <c r="A177" s="751" t="s">
        <v>1144</v>
      </c>
      <c r="B177" s="821" t="s">
        <v>1145</v>
      </c>
      <c r="C177" s="1345">
        <f>'дод1.1без змін'!D780</f>
        <v>0</v>
      </c>
      <c r="D177" s="822"/>
      <c r="E177" s="760">
        <f t="shared" si="5"/>
        <v>0</v>
      </c>
      <c r="G177" s="826"/>
      <c r="H177" s="910"/>
      <c r="I177" s="910"/>
      <c r="J177" s="910"/>
    </row>
    <row r="178" spans="1:10" s="301" customFormat="1" ht="18.75" hidden="1" x14ac:dyDescent="0.25">
      <c r="A178" s="751" t="s">
        <v>1146</v>
      </c>
      <c r="B178" s="821" t="s">
        <v>1147</v>
      </c>
      <c r="C178" s="1345">
        <f>'дод1.1без змін'!D791</f>
        <v>0</v>
      </c>
      <c r="D178" s="822"/>
      <c r="E178" s="760">
        <f t="shared" si="5"/>
        <v>0</v>
      </c>
      <c r="G178" s="826"/>
      <c r="H178" s="910"/>
      <c r="I178" s="910"/>
      <c r="J178" s="910"/>
    </row>
    <row r="179" spans="1:10" s="301" customFormat="1" ht="18.75" hidden="1" x14ac:dyDescent="0.25">
      <c r="A179" s="751" t="s">
        <v>1148</v>
      </c>
      <c r="B179" s="821" t="s">
        <v>1149</v>
      </c>
      <c r="C179" s="1345">
        <f>'дод1.1без змін'!D802</f>
        <v>0</v>
      </c>
      <c r="D179" s="822"/>
      <c r="E179" s="760">
        <f t="shared" si="5"/>
        <v>0</v>
      </c>
      <c r="G179" s="826"/>
      <c r="H179" s="910"/>
      <c r="I179" s="910"/>
      <c r="J179" s="910"/>
    </row>
    <row r="180" spans="1:10" s="738" customFormat="1" ht="55.9" customHeight="1" x14ac:dyDescent="0.25">
      <c r="A180" s="1068"/>
      <c r="B180" s="1068" t="s">
        <v>1061</v>
      </c>
      <c r="C180" s="1346"/>
      <c r="D180" s="904"/>
      <c r="E180" s="760">
        <v>1</v>
      </c>
      <c r="G180" s="825"/>
    </row>
    <row r="181" spans="1:10" s="738" customFormat="1" ht="117.75" customHeight="1" x14ac:dyDescent="0.25">
      <c r="A181" s="779">
        <v>41033000</v>
      </c>
      <c r="B181" s="780" t="s">
        <v>1000</v>
      </c>
      <c r="C181" s="1343">
        <f>C182</f>
        <v>15238600</v>
      </c>
      <c r="D181" s="781"/>
      <c r="E181" s="760">
        <f t="shared" si="5"/>
        <v>15238600</v>
      </c>
      <c r="G181" s="825"/>
    </row>
    <row r="182" spans="1:10" s="738" customFormat="1" ht="18" customHeight="1" x14ac:dyDescent="0.25">
      <c r="A182" s="751">
        <v>99000000000</v>
      </c>
      <c r="B182" s="740" t="s">
        <v>159</v>
      </c>
      <c r="C182" s="1344">
        <f>дод1!E127</f>
        <v>15238600</v>
      </c>
      <c r="D182" s="741"/>
      <c r="E182" s="760">
        <f t="shared" si="5"/>
        <v>15238600</v>
      </c>
      <c r="G182" s="825"/>
    </row>
    <row r="183" spans="1:10" s="738" customFormat="1" ht="117.75" customHeight="1" x14ac:dyDescent="0.25">
      <c r="A183" s="779">
        <v>41034500</v>
      </c>
      <c r="B183" s="780" t="s">
        <v>31</v>
      </c>
      <c r="C183" s="1343">
        <f>C184</f>
        <v>4700000</v>
      </c>
      <c r="D183" s="781"/>
      <c r="E183" s="760">
        <f t="shared" si="5"/>
        <v>4700000</v>
      </c>
      <c r="G183" s="825"/>
    </row>
    <row r="184" spans="1:10" s="738" customFormat="1" ht="18" customHeight="1" x14ac:dyDescent="0.25">
      <c r="A184" s="751">
        <v>99000000000</v>
      </c>
      <c r="B184" s="740" t="s">
        <v>159</v>
      </c>
      <c r="C184" s="1344">
        <f>дод1!E138</f>
        <v>4700000</v>
      </c>
      <c r="D184" s="741"/>
      <c r="E184" s="760">
        <f t="shared" si="5"/>
        <v>4700000</v>
      </c>
      <c r="G184" s="825" t="b">
        <f>C184=дод1!E138</f>
        <v>1</v>
      </c>
    </row>
    <row r="185" spans="1:10" s="738" customFormat="1" ht="117.75" customHeight="1" x14ac:dyDescent="0.25">
      <c r="A185" s="779">
        <v>41037300</v>
      </c>
      <c r="B185" s="780" t="s">
        <v>525</v>
      </c>
      <c r="C185" s="1343">
        <f>C186</f>
        <v>1237978700</v>
      </c>
      <c r="D185" s="781"/>
      <c r="E185" s="760">
        <f t="shared" si="5"/>
        <v>1237978700</v>
      </c>
      <c r="G185" s="825" t="b">
        <f>C185=дод1!E151</f>
        <v>1</v>
      </c>
    </row>
    <row r="186" spans="1:10" s="738" customFormat="1" ht="18" customHeight="1" x14ac:dyDescent="0.25">
      <c r="A186" s="751">
        <v>99000000000</v>
      </c>
      <c r="B186" s="740" t="s">
        <v>159</v>
      </c>
      <c r="C186" s="1344">
        <f>дод1!E151</f>
        <v>1237978700</v>
      </c>
      <c r="D186" s="741"/>
      <c r="E186" s="760">
        <f t="shared" si="5"/>
        <v>1237978700</v>
      </c>
      <c r="G186" s="825"/>
    </row>
    <row r="187" spans="1:10" s="738" customFormat="1" ht="80.45" customHeight="1" x14ac:dyDescent="0.25">
      <c r="A187" s="779">
        <v>41039100</v>
      </c>
      <c r="B187" s="780" t="s">
        <v>2261</v>
      </c>
      <c r="C187" s="1343">
        <f>C188</f>
        <v>1205900</v>
      </c>
      <c r="D187" s="1085"/>
      <c r="E187" s="760">
        <f t="shared" si="5"/>
        <v>1205900</v>
      </c>
      <c r="G187" s="1500" t="b">
        <f>дод1!E153=C187</f>
        <v>1</v>
      </c>
    </row>
    <row r="188" spans="1:10" s="738" customFormat="1" ht="18" customHeight="1" x14ac:dyDescent="0.25">
      <c r="A188" s="751">
        <v>99000000000</v>
      </c>
      <c r="B188" s="740" t="s">
        <v>159</v>
      </c>
      <c r="C188" s="1344">
        <f>дод1!E153</f>
        <v>1205900</v>
      </c>
      <c r="D188" s="741"/>
      <c r="E188" s="760">
        <f t="shared" si="5"/>
        <v>1205900</v>
      </c>
      <c r="G188" s="825"/>
    </row>
    <row r="189" spans="1:10" s="738" customFormat="1" ht="109.5" hidden="1" customHeight="1" x14ac:dyDescent="0.25">
      <c r="A189" s="779">
        <v>41053500</v>
      </c>
      <c r="B189" s="780" t="s">
        <v>710</v>
      </c>
      <c r="C189" s="1343">
        <f>SUM(C190:C255)</f>
        <v>0</v>
      </c>
      <c r="D189" s="781"/>
      <c r="E189" s="760">
        <f t="shared" si="5"/>
        <v>0</v>
      </c>
      <c r="G189" s="1373">
        <f>C189-дод1!E158</f>
        <v>0</v>
      </c>
    </row>
    <row r="190" spans="1:10" s="738" customFormat="1" ht="18" hidden="1" customHeight="1" x14ac:dyDescent="0.25">
      <c r="A190" s="751" t="s">
        <v>526</v>
      </c>
      <c r="B190" s="821" t="s">
        <v>1060</v>
      </c>
      <c r="C190" s="1345">
        <f>'дод1.1без змін'!E20</f>
        <v>0</v>
      </c>
      <c r="D190" s="822"/>
      <c r="E190" s="760">
        <f t="shared" si="5"/>
        <v>0</v>
      </c>
      <c r="G190" s="825"/>
    </row>
    <row r="191" spans="1:10" s="738" customFormat="1" ht="18" hidden="1" customHeight="1" x14ac:dyDescent="0.25">
      <c r="A191" s="751" t="s">
        <v>527</v>
      </c>
      <c r="B191" s="821" t="s">
        <v>1069</v>
      </c>
      <c r="C191" s="1345">
        <f>'дод1.1без змін'!E31</f>
        <v>0</v>
      </c>
      <c r="D191" s="822"/>
      <c r="E191" s="760">
        <f t="shared" si="5"/>
        <v>0</v>
      </c>
      <c r="G191" s="825"/>
    </row>
    <row r="192" spans="1:10" s="738" customFormat="1" ht="18" hidden="1" customHeight="1" x14ac:dyDescent="0.25">
      <c r="A192" s="751" t="s">
        <v>528</v>
      </c>
      <c r="B192" s="821" t="s">
        <v>1070</v>
      </c>
      <c r="C192" s="1345">
        <f>'дод1.1без змін'!E42</f>
        <v>0</v>
      </c>
      <c r="D192" s="822"/>
      <c r="E192" s="760">
        <f t="shared" si="5"/>
        <v>0</v>
      </c>
      <c r="G192" s="825"/>
    </row>
    <row r="193" spans="1:7" s="738" customFormat="1" ht="18" hidden="1" customHeight="1" x14ac:dyDescent="0.25">
      <c r="A193" s="751" t="s">
        <v>529</v>
      </c>
      <c r="B193" s="821" t="s">
        <v>1071</v>
      </c>
      <c r="C193" s="1345">
        <f>'дод1.1без змін'!E53</f>
        <v>0</v>
      </c>
      <c r="D193" s="822"/>
      <c r="E193" s="760">
        <f t="shared" si="5"/>
        <v>0</v>
      </c>
      <c r="G193" s="825"/>
    </row>
    <row r="194" spans="1:7" s="738" customFormat="1" ht="18" hidden="1" customHeight="1" x14ac:dyDescent="0.25">
      <c r="A194" s="751" t="s">
        <v>530</v>
      </c>
      <c r="B194" s="821" t="s">
        <v>1072</v>
      </c>
      <c r="C194" s="1345">
        <f>'дод1.1без змін'!E64</f>
        <v>0</v>
      </c>
      <c r="D194" s="822"/>
      <c r="E194" s="760">
        <f t="shared" si="5"/>
        <v>0</v>
      </c>
      <c r="G194" s="825"/>
    </row>
    <row r="195" spans="1:7" s="738" customFormat="1" ht="18" hidden="1" customHeight="1" x14ac:dyDescent="0.25">
      <c r="A195" s="751" t="s">
        <v>531</v>
      </c>
      <c r="B195" s="821" t="s">
        <v>1073</v>
      </c>
      <c r="C195" s="1345">
        <f>'дод1.1без змін'!E75</f>
        <v>0</v>
      </c>
      <c r="D195" s="822"/>
      <c r="E195" s="760">
        <f t="shared" si="5"/>
        <v>0</v>
      </c>
      <c r="G195" s="825"/>
    </row>
    <row r="196" spans="1:7" s="738" customFormat="1" ht="18" hidden="1" customHeight="1" x14ac:dyDescent="0.25">
      <c r="A196" s="751" t="s">
        <v>532</v>
      </c>
      <c r="B196" s="821" t="s">
        <v>1074</v>
      </c>
      <c r="C196" s="1345">
        <f>'дод1.1без змін'!E86</f>
        <v>0</v>
      </c>
      <c r="D196" s="822"/>
      <c r="E196" s="760">
        <f t="shared" si="5"/>
        <v>0</v>
      </c>
      <c r="G196" s="825"/>
    </row>
    <row r="197" spans="1:7" s="738" customFormat="1" ht="18" hidden="1" customHeight="1" x14ac:dyDescent="0.25">
      <c r="A197" s="751" t="s">
        <v>533</v>
      </c>
      <c r="B197" s="821" t="s">
        <v>1075</v>
      </c>
      <c r="C197" s="1345">
        <f>'дод1.1без змін'!E97</f>
        <v>0</v>
      </c>
      <c r="D197" s="822"/>
      <c r="E197" s="760">
        <f t="shared" si="5"/>
        <v>0</v>
      </c>
      <c r="G197" s="825"/>
    </row>
    <row r="198" spans="1:7" s="738" customFormat="1" ht="18" hidden="1" customHeight="1" x14ac:dyDescent="0.25">
      <c r="A198" s="751" t="s">
        <v>534</v>
      </c>
      <c r="B198" s="821" t="s">
        <v>1076</v>
      </c>
      <c r="C198" s="1345">
        <f>'дод1.1без змін'!E108</f>
        <v>0</v>
      </c>
      <c r="D198" s="822"/>
      <c r="E198" s="760">
        <f t="shared" si="5"/>
        <v>0</v>
      </c>
      <c r="G198" s="825"/>
    </row>
    <row r="199" spans="1:7" s="738" customFormat="1" ht="18" hidden="1" customHeight="1" x14ac:dyDescent="0.25">
      <c r="A199" s="751" t="s">
        <v>535</v>
      </c>
      <c r="B199" s="821" t="s">
        <v>1077</v>
      </c>
      <c r="C199" s="1345">
        <f>'дод1.1без змін'!E119</f>
        <v>0</v>
      </c>
      <c r="D199" s="822"/>
      <c r="E199" s="760">
        <f t="shared" si="5"/>
        <v>0</v>
      </c>
      <c r="G199" s="825"/>
    </row>
    <row r="200" spans="1:7" s="738" customFormat="1" ht="18" hidden="1" customHeight="1" x14ac:dyDescent="0.25">
      <c r="A200" s="751" t="s">
        <v>536</v>
      </c>
      <c r="B200" s="821" t="s">
        <v>1078</v>
      </c>
      <c r="C200" s="1345">
        <f>'дод1.1без змін'!E130</f>
        <v>0</v>
      </c>
      <c r="D200" s="822"/>
      <c r="E200" s="760">
        <f t="shared" si="5"/>
        <v>0</v>
      </c>
      <c r="G200" s="825"/>
    </row>
    <row r="201" spans="1:7" s="738" customFormat="1" ht="18" hidden="1" customHeight="1" x14ac:dyDescent="0.25">
      <c r="A201" s="751" t="s">
        <v>537</v>
      </c>
      <c r="B201" s="821" t="s">
        <v>1079</v>
      </c>
      <c r="C201" s="1345">
        <f>'дод1.1без змін'!E141</f>
        <v>0</v>
      </c>
      <c r="D201" s="822"/>
      <c r="E201" s="760">
        <f t="shared" si="5"/>
        <v>0</v>
      </c>
      <c r="G201" s="825"/>
    </row>
    <row r="202" spans="1:7" s="738" customFormat="1" ht="18" hidden="1" customHeight="1" x14ac:dyDescent="0.25">
      <c r="A202" s="751" t="s">
        <v>538</v>
      </c>
      <c r="B202" s="821" t="s">
        <v>1080</v>
      </c>
      <c r="C202" s="1345">
        <f>'дод1.1без змін'!E152</f>
        <v>0</v>
      </c>
      <c r="D202" s="822"/>
      <c r="E202" s="760">
        <f t="shared" si="5"/>
        <v>0</v>
      </c>
      <c r="G202" s="825"/>
    </row>
    <row r="203" spans="1:7" s="738" customFormat="1" ht="18" hidden="1" customHeight="1" x14ac:dyDescent="0.25">
      <c r="A203" s="751" t="s">
        <v>539</v>
      </c>
      <c r="B203" s="821" t="s">
        <v>1081</v>
      </c>
      <c r="C203" s="1345">
        <f>'дод1.1без змін'!E163</f>
        <v>0</v>
      </c>
      <c r="D203" s="822"/>
      <c r="E203" s="760">
        <f t="shared" si="5"/>
        <v>0</v>
      </c>
      <c r="G203" s="825"/>
    </row>
    <row r="204" spans="1:7" s="738" customFormat="1" ht="18" hidden="1" customHeight="1" x14ac:dyDescent="0.25">
      <c r="A204" s="751" t="s">
        <v>540</v>
      </c>
      <c r="B204" s="821" t="s">
        <v>1082</v>
      </c>
      <c r="C204" s="1345">
        <f>'дод1.1без змін'!E174</f>
        <v>0</v>
      </c>
      <c r="D204" s="822"/>
      <c r="E204" s="760">
        <f t="shared" si="5"/>
        <v>0</v>
      </c>
      <c r="G204" s="825"/>
    </row>
    <row r="205" spans="1:7" s="738" customFormat="1" ht="18" hidden="1" customHeight="1" x14ac:dyDescent="0.25">
      <c r="A205" s="751" t="s">
        <v>541</v>
      </c>
      <c r="B205" s="821" t="s">
        <v>1083</v>
      </c>
      <c r="C205" s="1345">
        <f>'дод1.1без змін'!E185</f>
        <v>0</v>
      </c>
      <c r="D205" s="822"/>
      <c r="E205" s="760">
        <f t="shared" si="5"/>
        <v>0</v>
      </c>
      <c r="G205" s="825"/>
    </row>
    <row r="206" spans="1:7" s="738" customFormat="1" ht="18" hidden="1" customHeight="1" x14ac:dyDescent="0.25">
      <c r="A206" s="751" t="s">
        <v>542</v>
      </c>
      <c r="B206" s="821" t="s">
        <v>1084</v>
      </c>
      <c r="C206" s="1345">
        <f>'дод1.1без змін'!E196</f>
        <v>0</v>
      </c>
      <c r="D206" s="822"/>
      <c r="E206" s="760">
        <f t="shared" si="5"/>
        <v>0</v>
      </c>
      <c r="G206" s="825"/>
    </row>
    <row r="207" spans="1:7" s="738" customFormat="1" ht="18" hidden="1" customHeight="1" x14ac:dyDescent="0.25">
      <c r="A207" s="751" t="s">
        <v>543</v>
      </c>
      <c r="B207" s="821" t="s">
        <v>1085</v>
      </c>
      <c r="C207" s="1345">
        <f>'дод1.1без змін'!E207</f>
        <v>0</v>
      </c>
      <c r="D207" s="822"/>
      <c r="E207" s="760">
        <f t="shared" si="5"/>
        <v>0</v>
      </c>
      <c r="G207" s="825"/>
    </row>
    <row r="208" spans="1:7" s="738" customFormat="1" ht="18" hidden="1" customHeight="1" x14ac:dyDescent="0.25">
      <c r="A208" s="751" t="s">
        <v>544</v>
      </c>
      <c r="B208" s="821" t="s">
        <v>1086</v>
      </c>
      <c r="C208" s="1345">
        <f>'дод1.1без змін'!E218</f>
        <v>0</v>
      </c>
      <c r="D208" s="822"/>
      <c r="E208" s="760">
        <f t="shared" si="5"/>
        <v>0</v>
      </c>
      <c r="G208" s="825"/>
    </row>
    <row r="209" spans="1:7" s="738" customFormat="1" ht="18" hidden="1" customHeight="1" x14ac:dyDescent="0.25">
      <c r="A209" s="751" t="s">
        <v>545</v>
      </c>
      <c r="B209" s="821" t="s">
        <v>1087</v>
      </c>
      <c r="C209" s="1345">
        <f>'дод1.1без змін'!E229</f>
        <v>0</v>
      </c>
      <c r="D209" s="822"/>
      <c r="E209" s="760">
        <f t="shared" si="5"/>
        <v>0</v>
      </c>
      <c r="G209" s="825"/>
    </row>
    <row r="210" spans="1:7" s="738" customFormat="1" ht="18" hidden="1" customHeight="1" x14ac:dyDescent="0.25">
      <c r="A210" s="751" t="s">
        <v>546</v>
      </c>
      <c r="B210" s="821" t="s">
        <v>1088</v>
      </c>
      <c r="C210" s="1345">
        <f>'дод1.1без змін'!E240</f>
        <v>0</v>
      </c>
      <c r="D210" s="822"/>
      <c r="E210" s="760">
        <f t="shared" si="5"/>
        <v>0</v>
      </c>
      <c r="G210" s="825"/>
    </row>
    <row r="211" spans="1:7" s="738" customFormat="1" ht="18" hidden="1" customHeight="1" x14ac:dyDescent="0.25">
      <c r="A211" s="751" t="s">
        <v>547</v>
      </c>
      <c r="B211" s="821" t="s">
        <v>1089</v>
      </c>
      <c r="C211" s="1345">
        <f>'дод1.1без змін'!E251</f>
        <v>0</v>
      </c>
      <c r="D211" s="822"/>
      <c r="E211" s="760">
        <f t="shared" si="5"/>
        <v>0</v>
      </c>
      <c r="G211" s="825"/>
    </row>
    <row r="212" spans="1:7" s="738" customFormat="1" ht="18" hidden="1" customHeight="1" x14ac:dyDescent="0.25">
      <c r="A212" s="751" t="s">
        <v>548</v>
      </c>
      <c r="B212" s="821" t="s">
        <v>1090</v>
      </c>
      <c r="C212" s="1345">
        <f>'дод1.1без змін'!E262</f>
        <v>0</v>
      </c>
      <c r="D212" s="822"/>
      <c r="E212" s="760">
        <f t="shared" si="5"/>
        <v>0</v>
      </c>
      <c r="G212" s="825"/>
    </row>
    <row r="213" spans="1:7" s="738" customFormat="1" ht="18" hidden="1" customHeight="1" x14ac:dyDescent="0.25">
      <c r="A213" s="751" t="s">
        <v>549</v>
      </c>
      <c r="B213" s="821" t="s">
        <v>1091</v>
      </c>
      <c r="C213" s="1345">
        <f>'дод1.1без змін'!E273</f>
        <v>0</v>
      </c>
      <c r="D213" s="822"/>
      <c r="E213" s="760">
        <f t="shared" si="5"/>
        <v>0</v>
      </c>
      <c r="G213" s="825"/>
    </row>
    <row r="214" spans="1:7" s="738" customFormat="1" ht="18" hidden="1" customHeight="1" x14ac:dyDescent="0.25">
      <c r="A214" s="751" t="s">
        <v>550</v>
      </c>
      <c r="B214" s="821" t="s">
        <v>1092</v>
      </c>
      <c r="C214" s="1345">
        <f>'дод1.1без змін'!E284</f>
        <v>0</v>
      </c>
      <c r="D214" s="822"/>
      <c r="E214" s="760">
        <f t="shared" si="5"/>
        <v>0</v>
      </c>
      <c r="G214" s="825"/>
    </row>
    <row r="215" spans="1:7" s="738" customFormat="1" ht="18" hidden="1" customHeight="1" x14ac:dyDescent="0.25">
      <c r="A215" s="751" t="s">
        <v>551</v>
      </c>
      <c r="B215" s="740" t="s">
        <v>1093</v>
      </c>
      <c r="C215" s="1345">
        <f>'дод1.1без змін'!E295</f>
        <v>0</v>
      </c>
      <c r="D215" s="822"/>
      <c r="E215" s="760">
        <f t="shared" si="5"/>
        <v>0</v>
      </c>
      <c r="G215" s="825"/>
    </row>
    <row r="216" spans="1:7" s="738" customFormat="1" ht="18" hidden="1" customHeight="1" x14ac:dyDescent="0.25">
      <c r="A216" s="751" t="s">
        <v>552</v>
      </c>
      <c r="B216" s="821" t="s">
        <v>1094</v>
      </c>
      <c r="C216" s="1345">
        <f>'дод1.1без змін'!E306</f>
        <v>0</v>
      </c>
      <c r="D216" s="822"/>
      <c r="E216" s="760">
        <f t="shared" si="5"/>
        <v>0</v>
      </c>
      <c r="G216" s="825"/>
    </row>
    <row r="217" spans="1:7" s="738" customFormat="1" ht="18" hidden="1" customHeight="1" x14ac:dyDescent="0.25">
      <c r="A217" s="751" t="s">
        <v>553</v>
      </c>
      <c r="B217" s="821" t="s">
        <v>1095</v>
      </c>
      <c r="C217" s="1345">
        <f>'дод1.1без змін'!E317</f>
        <v>0</v>
      </c>
      <c r="D217" s="822"/>
      <c r="E217" s="760">
        <f t="shared" si="5"/>
        <v>0</v>
      </c>
      <c r="G217" s="825"/>
    </row>
    <row r="218" spans="1:7" s="738" customFormat="1" ht="18" hidden="1" customHeight="1" x14ac:dyDescent="0.25">
      <c r="A218" s="751" t="s">
        <v>554</v>
      </c>
      <c r="B218" s="821" t="s">
        <v>1096</v>
      </c>
      <c r="C218" s="1345">
        <f>'дод1.1без змін'!E328</f>
        <v>0</v>
      </c>
      <c r="D218" s="822"/>
      <c r="E218" s="760">
        <f t="shared" si="5"/>
        <v>0</v>
      </c>
      <c r="G218" s="825"/>
    </row>
    <row r="219" spans="1:7" s="738" customFormat="1" ht="18" hidden="1" customHeight="1" x14ac:dyDescent="0.25">
      <c r="A219" s="751" t="s">
        <v>555</v>
      </c>
      <c r="B219" s="821" t="s">
        <v>1097</v>
      </c>
      <c r="C219" s="1345">
        <f>'дод1.1без змін'!E339</f>
        <v>0</v>
      </c>
      <c r="D219" s="822"/>
      <c r="E219" s="760">
        <f t="shared" si="5"/>
        <v>0</v>
      </c>
      <c r="G219" s="825"/>
    </row>
    <row r="220" spans="1:7" s="738" customFormat="1" ht="18" hidden="1" customHeight="1" x14ac:dyDescent="0.25">
      <c r="A220" s="751" t="s">
        <v>556</v>
      </c>
      <c r="B220" s="821" t="s">
        <v>1098</v>
      </c>
      <c r="C220" s="1345">
        <f>'дод1.1без змін'!E350</f>
        <v>0</v>
      </c>
      <c r="D220" s="822"/>
      <c r="E220" s="760">
        <f t="shared" si="5"/>
        <v>0</v>
      </c>
      <c r="G220" s="825"/>
    </row>
    <row r="221" spans="1:7" s="738" customFormat="1" ht="18" hidden="1" customHeight="1" x14ac:dyDescent="0.25">
      <c r="A221" s="751" t="s">
        <v>557</v>
      </c>
      <c r="B221" s="821" t="s">
        <v>1099</v>
      </c>
      <c r="C221" s="1345">
        <f>'дод1.1без змін'!E361</f>
        <v>0</v>
      </c>
      <c r="D221" s="822"/>
      <c r="E221" s="760">
        <f t="shared" ref="E221:E284" si="6">C221</f>
        <v>0</v>
      </c>
      <c r="G221" s="825"/>
    </row>
    <row r="222" spans="1:7" s="738" customFormat="1" ht="18" hidden="1" customHeight="1" x14ac:dyDescent="0.25">
      <c r="A222" s="751" t="s">
        <v>558</v>
      </c>
      <c r="B222" s="821" t="s">
        <v>1100</v>
      </c>
      <c r="C222" s="1345">
        <f>'дод1.1без змін'!E372</f>
        <v>0</v>
      </c>
      <c r="D222" s="822"/>
      <c r="E222" s="760">
        <f t="shared" si="6"/>
        <v>0</v>
      </c>
      <c r="G222" s="825"/>
    </row>
    <row r="223" spans="1:7" s="738" customFormat="1" ht="18" hidden="1" customHeight="1" x14ac:dyDescent="0.25">
      <c r="A223" s="751" t="s">
        <v>559</v>
      </c>
      <c r="B223" s="821" t="s">
        <v>1101</v>
      </c>
      <c r="C223" s="1345">
        <f>'дод1.1без змін'!E383</f>
        <v>0</v>
      </c>
      <c r="D223" s="822"/>
      <c r="E223" s="760">
        <f t="shared" si="6"/>
        <v>0</v>
      </c>
      <c r="G223" s="825"/>
    </row>
    <row r="224" spans="1:7" s="738" customFormat="1" ht="18" hidden="1" customHeight="1" x14ac:dyDescent="0.25">
      <c r="A224" s="751" t="s">
        <v>560</v>
      </c>
      <c r="B224" s="821" t="s">
        <v>1102</v>
      </c>
      <c r="C224" s="1345">
        <f>'дод1.1без змін'!E394</f>
        <v>0</v>
      </c>
      <c r="D224" s="822"/>
      <c r="E224" s="760">
        <f t="shared" si="6"/>
        <v>0</v>
      </c>
      <c r="G224" s="825"/>
    </row>
    <row r="225" spans="1:7" s="738" customFormat="1" ht="18" hidden="1" customHeight="1" x14ac:dyDescent="0.25">
      <c r="A225" s="751" t="s">
        <v>561</v>
      </c>
      <c r="B225" s="821" t="s">
        <v>1103</v>
      </c>
      <c r="C225" s="1345">
        <f>'дод1.1без змін'!E405</f>
        <v>0</v>
      </c>
      <c r="D225" s="822"/>
      <c r="E225" s="760">
        <f t="shared" si="6"/>
        <v>0</v>
      </c>
      <c r="G225" s="825"/>
    </row>
    <row r="226" spans="1:7" s="738" customFormat="1" ht="18" hidden="1" customHeight="1" x14ac:dyDescent="0.25">
      <c r="A226" s="751" t="s">
        <v>562</v>
      </c>
      <c r="B226" s="821" t="s">
        <v>1104</v>
      </c>
      <c r="C226" s="1345">
        <f>'дод1.1без змін'!E416</f>
        <v>0</v>
      </c>
      <c r="D226" s="822"/>
      <c r="E226" s="760">
        <f t="shared" si="6"/>
        <v>0</v>
      </c>
      <c r="G226" s="825"/>
    </row>
    <row r="227" spans="1:7" s="738" customFormat="1" ht="18" hidden="1" customHeight="1" x14ac:dyDescent="0.25">
      <c r="A227" s="751" t="s">
        <v>563</v>
      </c>
      <c r="B227" s="821" t="s">
        <v>1105</v>
      </c>
      <c r="C227" s="1345">
        <f>'дод1.1без змін'!E427</f>
        <v>0</v>
      </c>
      <c r="D227" s="822"/>
      <c r="E227" s="760">
        <f t="shared" si="6"/>
        <v>0</v>
      </c>
      <c r="G227" s="825"/>
    </row>
    <row r="228" spans="1:7" s="738" customFormat="1" ht="18" hidden="1" customHeight="1" x14ac:dyDescent="0.25">
      <c r="A228" s="751" t="s">
        <v>564</v>
      </c>
      <c r="B228" s="821" t="s">
        <v>1106</v>
      </c>
      <c r="C228" s="1345">
        <f>'дод1.1без змін'!E438</f>
        <v>0</v>
      </c>
      <c r="D228" s="822"/>
      <c r="E228" s="760">
        <f t="shared" si="6"/>
        <v>0</v>
      </c>
      <c r="G228" s="825"/>
    </row>
    <row r="229" spans="1:7" s="738" customFormat="1" ht="18" hidden="1" customHeight="1" x14ac:dyDescent="0.25">
      <c r="A229" s="751" t="s">
        <v>565</v>
      </c>
      <c r="B229" s="821" t="s">
        <v>1107</v>
      </c>
      <c r="C229" s="1345">
        <f>'дод1.1без змін'!E449</f>
        <v>0</v>
      </c>
      <c r="D229" s="822"/>
      <c r="E229" s="760">
        <f t="shared" si="6"/>
        <v>0</v>
      </c>
      <c r="G229" s="825"/>
    </row>
    <row r="230" spans="1:7" s="738" customFormat="1" ht="18" hidden="1" customHeight="1" x14ac:dyDescent="0.25">
      <c r="A230" s="751" t="s">
        <v>566</v>
      </c>
      <c r="B230" s="821" t="s">
        <v>1108</v>
      </c>
      <c r="C230" s="1345">
        <f>'дод1.1без змін'!E460</f>
        <v>0</v>
      </c>
      <c r="D230" s="822"/>
      <c r="E230" s="760">
        <f t="shared" si="6"/>
        <v>0</v>
      </c>
      <c r="G230" s="825"/>
    </row>
    <row r="231" spans="1:7" s="738" customFormat="1" ht="18" hidden="1" customHeight="1" x14ac:dyDescent="0.25">
      <c r="A231" s="751" t="s">
        <v>567</v>
      </c>
      <c r="B231" s="821" t="s">
        <v>1109</v>
      </c>
      <c r="C231" s="1345">
        <f>'дод1.1без змін'!E471</f>
        <v>0</v>
      </c>
      <c r="D231" s="822"/>
      <c r="E231" s="760">
        <f t="shared" si="6"/>
        <v>0</v>
      </c>
      <c r="G231" s="825"/>
    </row>
    <row r="232" spans="1:7" s="738" customFormat="1" ht="18" hidden="1" customHeight="1" x14ac:dyDescent="0.25">
      <c r="A232" s="751" t="s">
        <v>780</v>
      </c>
      <c r="B232" s="821" t="s">
        <v>1110</v>
      </c>
      <c r="C232" s="1345">
        <f>'дод1.1без змін'!E482</f>
        <v>0</v>
      </c>
      <c r="D232" s="822"/>
      <c r="E232" s="760">
        <f t="shared" si="6"/>
        <v>0</v>
      </c>
      <c r="G232" s="825"/>
    </row>
    <row r="233" spans="1:7" s="738" customFormat="1" ht="18" hidden="1" customHeight="1" x14ac:dyDescent="0.25">
      <c r="A233" s="751" t="s">
        <v>781</v>
      </c>
      <c r="B233" s="821" t="s">
        <v>1111</v>
      </c>
      <c r="C233" s="1345">
        <f>'дод1.1без змін'!E493</f>
        <v>0</v>
      </c>
      <c r="D233" s="822"/>
      <c r="E233" s="760">
        <f t="shared" si="6"/>
        <v>0</v>
      </c>
      <c r="G233" s="825"/>
    </row>
    <row r="234" spans="1:7" s="738" customFormat="1" ht="18" hidden="1" customHeight="1" x14ac:dyDescent="0.25">
      <c r="A234" s="751" t="s">
        <v>782</v>
      </c>
      <c r="B234" s="821" t="s">
        <v>1112</v>
      </c>
      <c r="C234" s="1345">
        <f>'дод1.1без змін'!E504</f>
        <v>0</v>
      </c>
      <c r="D234" s="822"/>
      <c r="E234" s="760">
        <f t="shared" si="6"/>
        <v>0</v>
      </c>
      <c r="G234" s="825"/>
    </row>
    <row r="235" spans="1:7" s="738" customFormat="1" ht="18" hidden="1" customHeight="1" x14ac:dyDescent="0.25">
      <c r="A235" s="751" t="s">
        <v>783</v>
      </c>
      <c r="B235" s="821" t="s">
        <v>1113</v>
      </c>
      <c r="C235" s="1345">
        <f>'дод1.1без змін'!E515</f>
        <v>0</v>
      </c>
      <c r="D235" s="822"/>
      <c r="E235" s="760">
        <f t="shared" si="6"/>
        <v>0</v>
      </c>
      <c r="G235" s="825"/>
    </row>
    <row r="236" spans="1:7" s="738" customFormat="1" ht="18" hidden="1" customHeight="1" x14ac:dyDescent="0.25">
      <c r="A236" s="751" t="s">
        <v>784</v>
      </c>
      <c r="B236" s="821" t="s">
        <v>1114</v>
      </c>
      <c r="C236" s="1345">
        <f>'дод1.1без змін'!E526</f>
        <v>0</v>
      </c>
      <c r="D236" s="822"/>
      <c r="E236" s="760">
        <f t="shared" si="6"/>
        <v>0</v>
      </c>
      <c r="G236" s="825"/>
    </row>
    <row r="237" spans="1:7" s="738" customFormat="1" ht="18" hidden="1" customHeight="1" x14ac:dyDescent="0.25">
      <c r="A237" s="751" t="s">
        <v>785</v>
      </c>
      <c r="B237" s="821" t="s">
        <v>1115</v>
      </c>
      <c r="C237" s="1345">
        <f>'дод1.1без змін'!E537</f>
        <v>0</v>
      </c>
      <c r="D237" s="822"/>
      <c r="E237" s="760">
        <f t="shared" si="6"/>
        <v>0</v>
      </c>
      <c r="G237" s="825"/>
    </row>
    <row r="238" spans="1:7" s="738" customFormat="1" ht="18" hidden="1" customHeight="1" x14ac:dyDescent="0.25">
      <c r="A238" s="751" t="s">
        <v>910</v>
      </c>
      <c r="B238" s="821" t="s">
        <v>1116</v>
      </c>
      <c r="C238" s="1345">
        <f>'дод1.1без змін'!E548</f>
        <v>0</v>
      </c>
      <c r="D238" s="822"/>
      <c r="E238" s="760">
        <f t="shared" si="6"/>
        <v>0</v>
      </c>
      <c r="G238" s="825"/>
    </row>
    <row r="239" spans="1:7" s="738" customFormat="1" ht="18" hidden="1" customHeight="1" x14ac:dyDescent="0.25">
      <c r="A239" s="751" t="s">
        <v>911</v>
      </c>
      <c r="B239" s="821" t="s">
        <v>1117</v>
      </c>
      <c r="C239" s="1345">
        <f>'дод1.1без змін'!E559</f>
        <v>0</v>
      </c>
      <c r="D239" s="822"/>
      <c r="E239" s="760">
        <f t="shared" si="6"/>
        <v>0</v>
      </c>
      <c r="G239" s="825"/>
    </row>
    <row r="240" spans="1:7" s="738" customFormat="1" ht="18" hidden="1" customHeight="1" x14ac:dyDescent="0.25">
      <c r="A240" s="751" t="s">
        <v>1118</v>
      </c>
      <c r="B240" s="821" t="s">
        <v>1119</v>
      </c>
      <c r="C240" s="1345">
        <f>'дод1.1без змін'!E570</f>
        <v>0</v>
      </c>
      <c r="D240" s="822"/>
      <c r="E240" s="760">
        <f t="shared" si="6"/>
        <v>0</v>
      </c>
      <c r="G240" s="825"/>
    </row>
    <row r="241" spans="1:7" s="738" customFormat="1" ht="18" hidden="1" customHeight="1" x14ac:dyDescent="0.25">
      <c r="A241" s="751" t="s">
        <v>1120</v>
      </c>
      <c r="B241" s="821" t="s">
        <v>1121</v>
      </c>
      <c r="C241" s="1345">
        <f>'дод1.1без змін'!E581</f>
        <v>0</v>
      </c>
      <c r="D241" s="822"/>
      <c r="E241" s="760">
        <f t="shared" si="6"/>
        <v>0</v>
      </c>
      <c r="G241" s="825"/>
    </row>
    <row r="242" spans="1:7" s="738" customFormat="1" ht="18" hidden="1" customHeight="1" x14ac:dyDescent="0.25">
      <c r="A242" s="751" t="s">
        <v>1122</v>
      </c>
      <c r="B242" s="821" t="s">
        <v>1123</v>
      </c>
      <c r="C242" s="1345">
        <f>'дод1.1без змін'!E592</f>
        <v>0</v>
      </c>
      <c r="D242" s="822"/>
      <c r="E242" s="760">
        <f t="shared" si="6"/>
        <v>0</v>
      </c>
      <c r="G242" s="825"/>
    </row>
    <row r="243" spans="1:7" s="738" customFormat="1" ht="18" hidden="1" customHeight="1" x14ac:dyDescent="0.25">
      <c r="A243" s="751" t="s">
        <v>1124</v>
      </c>
      <c r="B243" s="821" t="s">
        <v>1125</v>
      </c>
      <c r="C243" s="1345">
        <f>'дод1.1без змін'!E603</f>
        <v>0</v>
      </c>
      <c r="D243" s="822"/>
      <c r="E243" s="760">
        <f t="shared" si="6"/>
        <v>0</v>
      </c>
      <c r="G243" s="825"/>
    </row>
    <row r="244" spans="1:7" s="738" customFormat="1" ht="18" hidden="1" customHeight="1" x14ac:dyDescent="0.25">
      <c r="A244" s="751" t="s">
        <v>1126</v>
      </c>
      <c r="B244" s="821" t="s">
        <v>1127</v>
      </c>
      <c r="C244" s="1345">
        <f>'дод1.1без змін'!E614</f>
        <v>0</v>
      </c>
      <c r="D244" s="822"/>
      <c r="E244" s="760">
        <f t="shared" si="6"/>
        <v>0</v>
      </c>
      <c r="G244" s="825"/>
    </row>
    <row r="245" spans="1:7" s="738" customFormat="1" ht="18" hidden="1" customHeight="1" x14ac:dyDescent="0.25">
      <c r="A245" s="751" t="s">
        <v>1128</v>
      </c>
      <c r="B245" s="821" t="s">
        <v>1129</v>
      </c>
      <c r="C245" s="1345">
        <f>'дод1.1без змін'!E625</f>
        <v>0</v>
      </c>
      <c r="D245" s="822"/>
      <c r="E245" s="760">
        <f t="shared" si="6"/>
        <v>0</v>
      </c>
      <c r="G245" s="825"/>
    </row>
    <row r="246" spans="1:7" s="738" customFormat="1" ht="18" hidden="1" customHeight="1" x14ac:dyDescent="0.25">
      <c r="A246" s="751" t="s">
        <v>1130</v>
      </c>
      <c r="B246" s="821" t="s">
        <v>1131</v>
      </c>
      <c r="C246" s="1345">
        <f>'дод1.1без змін'!E636</f>
        <v>0</v>
      </c>
      <c r="D246" s="822"/>
      <c r="E246" s="760">
        <f t="shared" si="6"/>
        <v>0</v>
      </c>
      <c r="G246" s="825"/>
    </row>
    <row r="247" spans="1:7" s="738" customFormat="1" ht="18" hidden="1" customHeight="1" x14ac:dyDescent="0.25">
      <c r="A247" s="751" t="s">
        <v>1132</v>
      </c>
      <c r="B247" s="821" t="s">
        <v>1133</v>
      </c>
      <c r="C247" s="1345">
        <f>'дод1.1без змін'!E647</f>
        <v>0</v>
      </c>
      <c r="D247" s="822"/>
      <c r="E247" s="760">
        <f t="shared" si="6"/>
        <v>0</v>
      </c>
      <c r="G247" s="825"/>
    </row>
    <row r="248" spans="1:7" s="738" customFormat="1" ht="18" hidden="1" customHeight="1" x14ac:dyDescent="0.25">
      <c r="A248" s="751" t="s">
        <v>1134</v>
      </c>
      <c r="B248" s="821" t="s">
        <v>1135</v>
      </c>
      <c r="C248" s="1345">
        <f>'дод1.1без змін'!E658</f>
        <v>0</v>
      </c>
      <c r="D248" s="822"/>
      <c r="E248" s="760">
        <f t="shared" si="6"/>
        <v>0</v>
      </c>
      <c r="G248" s="825"/>
    </row>
    <row r="249" spans="1:7" s="738" customFormat="1" ht="18" hidden="1" customHeight="1" x14ac:dyDescent="0.25">
      <c r="A249" s="751" t="s">
        <v>1136</v>
      </c>
      <c r="B249" s="821" t="s">
        <v>1137</v>
      </c>
      <c r="C249" s="1345">
        <f>'дод1.1без змін'!E669</f>
        <v>0</v>
      </c>
      <c r="D249" s="822"/>
      <c r="E249" s="760">
        <f t="shared" si="6"/>
        <v>0</v>
      </c>
      <c r="G249" s="825"/>
    </row>
    <row r="250" spans="1:7" s="738" customFormat="1" ht="18" hidden="1" customHeight="1" x14ac:dyDescent="0.25">
      <c r="A250" s="751" t="s">
        <v>1138</v>
      </c>
      <c r="B250" s="821" t="s">
        <v>1139</v>
      </c>
      <c r="C250" s="1345">
        <f>'дод1.1без змін'!E680</f>
        <v>0</v>
      </c>
      <c r="D250" s="822"/>
      <c r="E250" s="760">
        <f t="shared" si="6"/>
        <v>0</v>
      </c>
      <c r="G250" s="825"/>
    </row>
    <row r="251" spans="1:7" s="738" customFormat="1" ht="18" hidden="1" customHeight="1" x14ac:dyDescent="0.25">
      <c r="A251" s="751" t="s">
        <v>1140</v>
      </c>
      <c r="B251" s="821" t="s">
        <v>1141</v>
      </c>
      <c r="C251" s="1345">
        <f>'дод1.1без змін'!E691</f>
        <v>0</v>
      </c>
      <c r="D251" s="822"/>
      <c r="E251" s="760">
        <f t="shared" si="6"/>
        <v>0</v>
      </c>
      <c r="G251" s="825"/>
    </row>
    <row r="252" spans="1:7" s="738" customFormat="1" ht="18" hidden="1" customHeight="1" x14ac:dyDescent="0.25">
      <c r="A252" s="751" t="s">
        <v>1142</v>
      </c>
      <c r="B252" s="821" t="s">
        <v>1143</v>
      </c>
      <c r="C252" s="1345">
        <f>'дод1.1без змін'!E702</f>
        <v>0</v>
      </c>
      <c r="D252" s="822"/>
      <c r="E252" s="760">
        <f t="shared" si="6"/>
        <v>0</v>
      </c>
      <c r="G252" s="825"/>
    </row>
    <row r="253" spans="1:7" s="738" customFormat="1" ht="18" hidden="1" customHeight="1" x14ac:dyDescent="0.25">
      <c r="A253" s="751" t="s">
        <v>1144</v>
      </c>
      <c r="B253" s="821" t="s">
        <v>1145</v>
      </c>
      <c r="C253" s="1345">
        <f>'дод1.1без змін'!E713</f>
        <v>0</v>
      </c>
      <c r="D253" s="822"/>
      <c r="E253" s="760">
        <f t="shared" si="6"/>
        <v>0</v>
      </c>
      <c r="G253" s="825"/>
    </row>
    <row r="254" spans="1:7" s="738" customFormat="1" ht="18" hidden="1" customHeight="1" x14ac:dyDescent="0.25">
      <c r="A254" s="751" t="s">
        <v>1146</v>
      </c>
      <c r="B254" s="821" t="s">
        <v>1147</v>
      </c>
      <c r="C254" s="1345">
        <f>'дод1.1без змін'!E724</f>
        <v>0</v>
      </c>
      <c r="D254" s="822"/>
      <c r="E254" s="760">
        <f t="shared" si="6"/>
        <v>0</v>
      </c>
      <c r="G254" s="825"/>
    </row>
    <row r="255" spans="1:7" s="738" customFormat="1" ht="18" hidden="1" customHeight="1" x14ac:dyDescent="0.25">
      <c r="A255" s="751" t="s">
        <v>1148</v>
      </c>
      <c r="B255" s="821" t="s">
        <v>1149</v>
      </c>
      <c r="C255" s="1345">
        <f>'дод1.1без змін'!E735</f>
        <v>0</v>
      </c>
      <c r="D255" s="822"/>
      <c r="E255" s="760">
        <f t="shared" si="6"/>
        <v>0</v>
      </c>
      <c r="G255" s="825"/>
    </row>
    <row r="256" spans="1:7" s="738" customFormat="1" ht="37.5" x14ac:dyDescent="0.25">
      <c r="A256" s="779">
        <f>дод1!A160</f>
        <v>41053700</v>
      </c>
      <c r="B256" s="780" t="str">
        <f>дод1!B160</f>
        <v>Субвенція з місцевого бюджету на співфінансування інвестиційних проектів</v>
      </c>
      <c r="C256" s="1343">
        <f>SUM(C257:C322)</f>
        <v>29457808.809999999</v>
      </c>
      <c r="D256" s="781"/>
      <c r="E256" s="760">
        <f t="shared" si="6"/>
        <v>29457808.809999999</v>
      </c>
      <c r="G256" s="825" t="b">
        <f>C256=дод1!E160</f>
        <v>1</v>
      </c>
    </row>
    <row r="257" spans="1:7" s="738" customFormat="1" ht="18" hidden="1" customHeight="1" x14ac:dyDescent="0.25">
      <c r="A257" s="751" t="s">
        <v>526</v>
      </c>
      <c r="B257" s="821" t="s">
        <v>1060</v>
      </c>
      <c r="C257" s="1345">
        <f>' дод1.2без змін'!E20</f>
        <v>0</v>
      </c>
      <c r="D257" s="822"/>
      <c r="E257" s="760">
        <f t="shared" si="6"/>
        <v>0</v>
      </c>
      <c r="G257" s="825"/>
    </row>
    <row r="258" spans="1:7" s="738" customFormat="1" ht="18" customHeight="1" x14ac:dyDescent="0.25">
      <c r="A258" s="751" t="s">
        <v>527</v>
      </c>
      <c r="B258" s="821" t="s">
        <v>1069</v>
      </c>
      <c r="C258" s="1345">
        <f>' дод1.2без змін'!E31</f>
        <v>600200</v>
      </c>
      <c r="D258" s="822"/>
      <c r="E258" s="760">
        <f t="shared" si="6"/>
        <v>600200</v>
      </c>
      <c r="G258" s="825"/>
    </row>
    <row r="259" spans="1:7" s="738" customFormat="1" ht="18" hidden="1" customHeight="1" x14ac:dyDescent="0.25">
      <c r="A259" s="751" t="s">
        <v>528</v>
      </c>
      <c r="B259" s="821" t="s">
        <v>1070</v>
      </c>
      <c r="C259" s="1345">
        <f>' дод1.2без змін'!E42</f>
        <v>0</v>
      </c>
      <c r="D259" s="822"/>
      <c r="E259" s="760">
        <f t="shared" si="6"/>
        <v>0</v>
      </c>
      <c r="G259" s="825"/>
    </row>
    <row r="260" spans="1:7" s="738" customFormat="1" ht="18" hidden="1" customHeight="1" x14ac:dyDescent="0.25">
      <c r="A260" s="751" t="s">
        <v>529</v>
      </c>
      <c r="B260" s="821" t="s">
        <v>1071</v>
      </c>
      <c r="C260" s="1345">
        <f>' дод1.2без змін'!E53</f>
        <v>0</v>
      </c>
      <c r="D260" s="822"/>
      <c r="E260" s="760">
        <f t="shared" si="6"/>
        <v>0</v>
      </c>
      <c r="G260" s="825"/>
    </row>
    <row r="261" spans="1:7" s="738" customFormat="1" ht="18" hidden="1" customHeight="1" x14ac:dyDescent="0.25">
      <c r="A261" s="751" t="s">
        <v>530</v>
      </c>
      <c r="B261" s="821" t="s">
        <v>1072</v>
      </c>
      <c r="C261" s="1345">
        <f>' дод1.2без змін'!E64</f>
        <v>0</v>
      </c>
      <c r="D261" s="822"/>
      <c r="E261" s="760">
        <f t="shared" si="6"/>
        <v>0</v>
      </c>
      <c r="G261" s="825"/>
    </row>
    <row r="262" spans="1:7" s="738" customFormat="1" ht="18" customHeight="1" x14ac:dyDescent="0.25">
      <c r="A262" s="751" t="s">
        <v>531</v>
      </c>
      <c r="B262" s="821" t="s">
        <v>1073</v>
      </c>
      <c r="C262" s="1345">
        <f>' дод1.2без змін'!E74</f>
        <v>5273392</v>
      </c>
      <c r="D262" s="822"/>
      <c r="E262" s="760">
        <f t="shared" si="6"/>
        <v>5273392</v>
      </c>
      <c r="G262" s="825"/>
    </row>
    <row r="263" spans="1:7" s="738" customFormat="1" ht="18" hidden="1" customHeight="1" x14ac:dyDescent="0.25">
      <c r="A263" s="751" t="s">
        <v>532</v>
      </c>
      <c r="B263" s="821" t="s">
        <v>1074</v>
      </c>
      <c r="C263" s="1345">
        <f>' дод1.2без змін'!E85</f>
        <v>0</v>
      </c>
      <c r="D263" s="822"/>
      <c r="E263" s="760">
        <f t="shared" si="6"/>
        <v>0</v>
      </c>
      <c r="G263" s="825"/>
    </row>
    <row r="264" spans="1:7" s="738" customFormat="1" ht="18" hidden="1" customHeight="1" x14ac:dyDescent="0.25">
      <c r="A264" s="751" t="s">
        <v>533</v>
      </c>
      <c r="B264" s="821" t="s">
        <v>1075</v>
      </c>
      <c r="C264" s="1345">
        <f>' дод1.2без змін'!E96</f>
        <v>0</v>
      </c>
      <c r="D264" s="822"/>
      <c r="E264" s="760">
        <f t="shared" si="6"/>
        <v>0</v>
      </c>
      <c r="G264" s="825"/>
    </row>
    <row r="265" spans="1:7" s="738" customFormat="1" ht="18" hidden="1" customHeight="1" x14ac:dyDescent="0.25">
      <c r="A265" s="751" t="s">
        <v>534</v>
      </c>
      <c r="B265" s="821" t="s">
        <v>1076</v>
      </c>
      <c r="C265" s="1345">
        <f>' дод1.2без змін'!E107</f>
        <v>0</v>
      </c>
      <c r="D265" s="822"/>
      <c r="E265" s="760">
        <f t="shared" si="6"/>
        <v>0</v>
      </c>
      <c r="G265" s="825"/>
    </row>
    <row r="266" spans="1:7" s="738" customFormat="1" ht="18" hidden="1" customHeight="1" x14ac:dyDescent="0.25">
      <c r="A266" s="751" t="s">
        <v>535</v>
      </c>
      <c r="B266" s="821" t="s">
        <v>1077</v>
      </c>
      <c r="C266" s="1345">
        <f>' дод1.2без змін'!E118</f>
        <v>0</v>
      </c>
      <c r="D266" s="822"/>
      <c r="E266" s="760">
        <f t="shared" si="6"/>
        <v>0</v>
      </c>
      <c r="G266" s="825"/>
    </row>
    <row r="267" spans="1:7" s="738" customFormat="1" ht="18" hidden="1" customHeight="1" x14ac:dyDescent="0.25">
      <c r="A267" s="751" t="s">
        <v>536</v>
      </c>
      <c r="B267" s="821" t="s">
        <v>1078</v>
      </c>
      <c r="C267" s="1345">
        <f>' дод1.2без змін'!E129</f>
        <v>0</v>
      </c>
      <c r="D267" s="822"/>
      <c r="E267" s="760">
        <f t="shared" si="6"/>
        <v>0</v>
      </c>
      <c r="G267" s="825"/>
    </row>
    <row r="268" spans="1:7" s="738" customFormat="1" ht="18" hidden="1" customHeight="1" x14ac:dyDescent="0.25">
      <c r="A268" s="751" t="s">
        <v>537</v>
      </c>
      <c r="B268" s="821" t="s">
        <v>1079</v>
      </c>
      <c r="C268" s="1345">
        <f>' дод1.2без змін'!E140</f>
        <v>0</v>
      </c>
      <c r="D268" s="822"/>
      <c r="E268" s="760">
        <f t="shared" si="6"/>
        <v>0</v>
      </c>
      <c r="G268" s="825"/>
    </row>
    <row r="269" spans="1:7" s="738" customFormat="1" ht="18" customHeight="1" x14ac:dyDescent="0.25">
      <c r="A269" s="751" t="s">
        <v>538</v>
      </c>
      <c r="B269" s="821" t="s">
        <v>1080</v>
      </c>
      <c r="C269" s="1345">
        <f>' дод1.2без змін'!E151</f>
        <v>3531750</v>
      </c>
      <c r="D269" s="822"/>
      <c r="E269" s="760">
        <f t="shared" si="6"/>
        <v>3531750</v>
      </c>
      <c r="G269" s="825"/>
    </row>
    <row r="270" spans="1:7" s="738" customFormat="1" ht="18" hidden="1" customHeight="1" x14ac:dyDescent="0.25">
      <c r="A270" s="751" t="s">
        <v>539</v>
      </c>
      <c r="B270" s="821" t="s">
        <v>1081</v>
      </c>
      <c r="C270" s="1345">
        <f>' дод1.2без змін'!E162</f>
        <v>0</v>
      </c>
      <c r="D270" s="822"/>
      <c r="E270" s="760">
        <f t="shared" si="6"/>
        <v>0</v>
      </c>
      <c r="G270" s="825"/>
    </row>
    <row r="271" spans="1:7" s="738" customFormat="1" ht="18" hidden="1" customHeight="1" x14ac:dyDescent="0.25">
      <c r="A271" s="751" t="s">
        <v>540</v>
      </c>
      <c r="B271" s="821" t="s">
        <v>1082</v>
      </c>
      <c r="C271" s="1345">
        <f>' дод1.2без змін'!E173</f>
        <v>0</v>
      </c>
      <c r="D271" s="822"/>
      <c r="E271" s="760">
        <f t="shared" si="6"/>
        <v>0</v>
      </c>
      <c r="G271" s="825"/>
    </row>
    <row r="272" spans="1:7" s="738" customFormat="1" ht="18" hidden="1" customHeight="1" x14ac:dyDescent="0.25">
      <c r="A272" s="751" t="s">
        <v>541</v>
      </c>
      <c r="B272" s="821" t="s">
        <v>1083</v>
      </c>
      <c r="C272" s="1345">
        <f>' дод1.2без змін'!E184</f>
        <v>0</v>
      </c>
      <c r="D272" s="822"/>
      <c r="E272" s="760">
        <f t="shared" si="6"/>
        <v>0</v>
      </c>
      <c r="G272" s="825"/>
    </row>
    <row r="273" spans="1:7" s="738" customFormat="1" ht="18" hidden="1" customHeight="1" x14ac:dyDescent="0.25">
      <c r="A273" s="751" t="s">
        <v>542</v>
      </c>
      <c r="B273" s="821" t="s">
        <v>1084</v>
      </c>
      <c r="C273" s="1345">
        <f>' дод1.2без змін'!E195</f>
        <v>0</v>
      </c>
      <c r="D273" s="822"/>
      <c r="E273" s="760">
        <f t="shared" si="6"/>
        <v>0</v>
      </c>
      <c r="G273" s="825"/>
    </row>
    <row r="274" spans="1:7" s="738" customFormat="1" ht="18" hidden="1" customHeight="1" x14ac:dyDescent="0.25">
      <c r="A274" s="751" t="s">
        <v>543</v>
      </c>
      <c r="B274" s="821" t="s">
        <v>1085</v>
      </c>
      <c r="C274" s="1345">
        <f>' дод1.2без змін'!E206</f>
        <v>0</v>
      </c>
      <c r="D274" s="822"/>
      <c r="E274" s="760">
        <f t="shared" si="6"/>
        <v>0</v>
      </c>
      <c r="G274" s="825"/>
    </row>
    <row r="275" spans="1:7" s="738" customFormat="1" ht="18" hidden="1" customHeight="1" x14ac:dyDescent="0.25">
      <c r="A275" s="751" t="s">
        <v>544</v>
      </c>
      <c r="B275" s="821" t="s">
        <v>1086</v>
      </c>
      <c r="C275" s="1345">
        <f>' дод1.2без змін'!E217</f>
        <v>0</v>
      </c>
      <c r="D275" s="822"/>
      <c r="E275" s="760">
        <f t="shared" si="6"/>
        <v>0</v>
      </c>
      <c r="G275" s="825"/>
    </row>
    <row r="276" spans="1:7" s="738" customFormat="1" ht="18" customHeight="1" x14ac:dyDescent="0.25">
      <c r="A276" s="751" t="s">
        <v>545</v>
      </c>
      <c r="B276" s="821" t="s">
        <v>1087</v>
      </c>
      <c r="C276" s="1345">
        <f>' дод1.2без змін'!E228</f>
        <v>11000</v>
      </c>
      <c r="D276" s="822"/>
      <c r="E276" s="760">
        <f t="shared" si="6"/>
        <v>11000</v>
      </c>
      <c r="G276" s="825"/>
    </row>
    <row r="277" spans="1:7" s="738" customFormat="1" ht="18" customHeight="1" x14ac:dyDescent="0.25">
      <c r="A277" s="751" t="s">
        <v>546</v>
      </c>
      <c r="B277" s="821" t="s">
        <v>1088</v>
      </c>
      <c r="C277" s="1345">
        <f>' дод1.2без змін'!E239</f>
        <v>69100</v>
      </c>
      <c r="D277" s="822"/>
      <c r="E277" s="760">
        <f t="shared" si="6"/>
        <v>69100</v>
      </c>
      <c r="G277" s="825"/>
    </row>
    <row r="278" spans="1:7" s="738" customFormat="1" ht="18" hidden="1" customHeight="1" x14ac:dyDescent="0.25">
      <c r="A278" s="751" t="s">
        <v>547</v>
      </c>
      <c r="B278" s="821" t="s">
        <v>1089</v>
      </c>
      <c r="C278" s="1345">
        <f>' дод1.2без змін'!E250</f>
        <v>0</v>
      </c>
      <c r="D278" s="822"/>
      <c r="E278" s="760">
        <f t="shared" si="6"/>
        <v>0</v>
      </c>
      <c r="G278" s="825"/>
    </row>
    <row r="279" spans="1:7" s="738" customFormat="1" ht="18" hidden="1" customHeight="1" x14ac:dyDescent="0.25">
      <c r="A279" s="751" t="s">
        <v>548</v>
      </c>
      <c r="B279" s="821" t="s">
        <v>1090</v>
      </c>
      <c r="C279" s="1345">
        <f>' дод1.2без змін'!E261</f>
        <v>0</v>
      </c>
      <c r="D279" s="822"/>
      <c r="E279" s="760">
        <f t="shared" si="6"/>
        <v>0</v>
      </c>
      <c r="G279" s="825"/>
    </row>
    <row r="280" spans="1:7" s="738" customFormat="1" ht="18" customHeight="1" x14ac:dyDescent="0.25">
      <c r="A280" s="751" t="s">
        <v>549</v>
      </c>
      <c r="B280" s="821" t="s">
        <v>1091</v>
      </c>
      <c r="C280" s="1345">
        <f>' дод1.2без змін'!E272</f>
        <v>11000</v>
      </c>
      <c r="D280" s="822"/>
      <c r="E280" s="760">
        <f t="shared" si="6"/>
        <v>11000</v>
      </c>
      <c r="G280" s="825"/>
    </row>
    <row r="281" spans="1:7" s="738" customFormat="1" ht="18" hidden="1" customHeight="1" x14ac:dyDescent="0.25">
      <c r="A281" s="751" t="s">
        <v>550</v>
      </c>
      <c r="B281" s="821" t="s">
        <v>1092</v>
      </c>
      <c r="C281" s="1345">
        <f>' дод1.2без змін'!E283</f>
        <v>0</v>
      </c>
      <c r="D281" s="822"/>
      <c r="E281" s="760">
        <f t="shared" si="6"/>
        <v>0</v>
      </c>
      <c r="G281" s="825"/>
    </row>
    <row r="282" spans="1:7" s="738" customFormat="1" ht="18" hidden="1" customHeight="1" x14ac:dyDescent="0.25">
      <c r="A282" s="751" t="s">
        <v>551</v>
      </c>
      <c r="B282" s="821" t="s">
        <v>1093</v>
      </c>
      <c r="C282" s="1345">
        <f>' дод1.2без змін'!E294</f>
        <v>0</v>
      </c>
      <c r="D282" s="822"/>
      <c r="E282" s="760">
        <f t="shared" si="6"/>
        <v>0</v>
      </c>
      <c r="G282" s="825"/>
    </row>
    <row r="283" spans="1:7" s="738" customFormat="1" ht="18" hidden="1" customHeight="1" x14ac:dyDescent="0.25">
      <c r="A283" s="751" t="s">
        <v>552</v>
      </c>
      <c r="B283" s="821" t="s">
        <v>1094</v>
      </c>
      <c r="C283" s="1345">
        <f>' дод1.2без змін'!E305</f>
        <v>0</v>
      </c>
      <c r="D283" s="822"/>
      <c r="E283" s="760">
        <f t="shared" si="6"/>
        <v>0</v>
      </c>
      <c r="G283" s="825"/>
    </row>
    <row r="284" spans="1:7" s="738" customFormat="1" ht="18" hidden="1" customHeight="1" x14ac:dyDescent="0.25">
      <c r="A284" s="751" t="s">
        <v>553</v>
      </c>
      <c r="B284" s="821" t="s">
        <v>1095</v>
      </c>
      <c r="C284" s="1345">
        <f>' дод1.2без змін'!E316</f>
        <v>0</v>
      </c>
      <c r="D284" s="822"/>
      <c r="E284" s="760">
        <f t="shared" si="6"/>
        <v>0</v>
      </c>
      <c r="G284" s="825"/>
    </row>
    <row r="285" spans="1:7" s="738" customFormat="1" ht="18" hidden="1" customHeight="1" x14ac:dyDescent="0.25">
      <c r="A285" s="751" t="s">
        <v>554</v>
      </c>
      <c r="B285" s="821" t="s">
        <v>1096</v>
      </c>
      <c r="C285" s="1345">
        <f>' дод1.2без змін'!E327</f>
        <v>0</v>
      </c>
      <c r="D285" s="822"/>
      <c r="E285" s="760">
        <f t="shared" ref="E285:E348" si="7">C285</f>
        <v>0</v>
      </c>
      <c r="G285" s="825"/>
    </row>
    <row r="286" spans="1:7" s="738" customFormat="1" ht="18" hidden="1" customHeight="1" x14ac:dyDescent="0.25">
      <c r="A286" s="751" t="s">
        <v>555</v>
      </c>
      <c r="B286" s="821" t="s">
        <v>1097</v>
      </c>
      <c r="C286" s="1345">
        <f>' дод1.2без змін'!E338</f>
        <v>0</v>
      </c>
      <c r="D286" s="822"/>
      <c r="E286" s="760">
        <f t="shared" si="7"/>
        <v>0</v>
      </c>
      <c r="G286" s="825"/>
    </row>
    <row r="287" spans="1:7" s="738" customFormat="1" ht="18" hidden="1" customHeight="1" x14ac:dyDescent="0.25">
      <c r="A287" s="751" t="s">
        <v>556</v>
      </c>
      <c r="B287" s="821" t="s">
        <v>1098</v>
      </c>
      <c r="C287" s="1345">
        <f>' дод1.2без змін'!E349</f>
        <v>0</v>
      </c>
      <c r="D287" s="822"/>
      <c r="E287" s="760">
        <f t="shared" si="7"/>
        <v>0</v>
      </c>
      <c r="G287" s="825"/>
    </row>
    <row r="288" spans="1:7" s="738" customFormat="1" ht="18" hidden="1" customHeight="1" x14ac:dyDescent="0.25">
      <c r="A288" s="751" t="s">
        <v>557</v>
      </c>
      <c r="B288" s="821" t="s">
        <v>1099</v>
      </c>
      <c r="C288" s="1345">
        <f>' дод1.2без змін'!E360</f>
        <v>0</v>
      </c>
      <c r="D288" s="822"/>
      <c r="E288" s="760">
        <f t="shared" si="7"/>
        <v>0</v>
      </c>
      <c r="G288" s="825"/>
    </row>
    <row r="289" spans="1:7" s="738" customFormat="1" ht="18" customHeight="1" x14ac:dyDescent="0.25">
      <c r="A289" s="751" t="s">
        <v>558</v>
      </c>
      <c r="B289" s="821" t="s">
        <v>1100</v>
      </c>
      <c r="C289" s="1345">
        <f>' дод1.2без змін'!E370</f>
        <v>406720</v>
      </c>
      <c r="D289" s="822"/>
      <c r="E289" s="760">
        <f t="shared" si="7"/>
        <v>406720</v>
      </c>
      <c r="G289" s="825"/>
    </row>
    <row r="290" spans="1:7" s="738" customFormat="1" ht="18" hidden="1" customHeight="1" x14ac:dyDescent="0.25">
      <c r="A290" s="751" t="s">
        <v>559</v>
      </c>
      <c r="B290" s="821" t="s">
        <v>1101</v>
      </c>
      <c r="C290" s="1345">
        <f>' дод1.2без змін'!E381</f>
        <v>0</v>
      </c>
      <c r="D290" s="822"/>
      <c r="E290" s="760">
        <f t="shared" si="7"/>
        <v>0</v>
      </c>
      <c r="G290" s="825"/>
    </row>
    <row r="291" spans="1:7" s="738" customFormat="1" ht="18" hidden="1" customHeight="1" x14ac:dyDescent="0.25">
      <c r="A291" s="751" t="s">
        <v>560</v>
      </c>
      <c r="B291" s="821" t="s">
        <v>1102</v>
      </c>
      <c r="C291" s="1345">
        <f>' дод1.2без змін'!E392</f>
        <v>0</v>
      </c>
      <c r="D291" s="822"/>
      <c r="E291" s="760">
        <f t="shared" si="7"/>
        <v>0</v>
      </c>
      <c r="G291" s="825"/>
    </row>
    <row r="292" spans="1:7" s="738" customFormat="1" ht="18" hidden="1" customHeight="1" x14ac:dyDescent="0.25">
      <c r="A292" s="751" t="s">
        <v>561</v>
      </c>
      <c r="B292" s="821" t="s">
        <v>1103</v>
      </c>
      <c r="C292" s="1345">
        <f>' дод1.2без змін'!E403</f>
        <v>0</v>
      </c>
      <c r="D292" s="822"/>
      <c r="E292" s="760">
        <f t="shared" si="7"/>
        <v>0</v>
      </c>
      <c r="G292" s="825"/>
    </row>
    <row r="293" spans="1:7" s="738" customFormat="1" ht="18" customHeight="1" x14ac:dyDescent="0.25">
      <c r="A293" s="751" t="s">
        <v>562</v>
      </c>
      <c r="B293" s="821" t="s">
        <v>1104</v>
      </c>
      <c r="C293" s="1345">
        <f>' дод1.2без змін'!E414</f>
        <v>6029962</v>
      </c>
      <c r="D293" s="822"/>
      <c r="E293" s="760">
        <f t="shared" si="7"/>
        <v>6029962</v>
      </c>
      <c r="G293" s="825"/>
    </row>
    <row r="294" spans="1:7" s="738" customFormat="1" ht="18" customHeight="1" x14ac:dyDescent="0.25">
      <c r="A294" s="751" t="s">
        <v>563</v>
      </c>
      <c r="B294" s="821" t="s">
        <v>1105</v>
      </c>
      <c r="C294" s="1345">
        <f>' дод1.2без змін'!E425</f>
        <v>40000</v>
      </c>
      <c r="D294" s="822"/>
      <c r="E294" s="760">
        <f t="shared" si="7"/>
        <v>40000</v>
      </c>
      <c r="G294" s="825"/>
    </row>
    <row r="295" spans="1:7" s="738" customFormat="1" ht="18" hidden="1" customHeight="1" x14ac:dyDescent="0.25">
      <c r="A295" s="751" t="s">
        <v>564</v>
      </c>
      <c r="B295" s="821" t="s">
        <v>1106</v>
      </c>
      <c r="C295" s="1345">
        <f>' дод1.2без змін'!E436</f>
        <v>0</v>
      </c>
      <c r="D295" s="822"/>
      <c r="E295" s="760">
        <f t="shared" si="7"/>
        <v>0</v>
      </c>
      <c r="G295" s="825"/>
    </row>
    <row r="296" spans="1:7" s="738" customFormat="1" ht="18" hidden="1" customHeight="1" x14ac:dyDescent="0.25">
      <c r="A296" s="751" t="s">
        <v>565</v>
      </c>
      <c r="B296" s="821" t="s">
        <v>1107</v>
      </c>
      <c r="C296" s="1345">
        <f>' дод1.2без змін'!E447</f>
        <v>0</v>
      </c>
      <c r="D296" s="822"/>
      <c r="E296" s="760">
        <f t="shared" si="7"/>
        <v>0</v>
      </c>
      <c r="G296" s="825"/>
    </row>
    <row r="297" spans="1:7" s="738" customFormat="1" ht="18" hidden="1" customHeight="1" x14ac:dyDescent="0.25">
      <c r="A297" s="751" t="s">
        <v>566</v>
      </c>
      <c r="B297" s="821" t="s">
        <v>1108</v>
      </c>
      <c r="C297" s="1345">
        <f>' дод1.2без змін'!E458</f>
        <v>0</v>
      </c>
      <c r="D297" s="822"/>
      <c r="E297" s="760">
        <f t="shared" si="7"/>
        <v>0</v>
      </c>
      <c r="G297" s="825"/>
    </row>
    <row r="298" spans="1:7" s="738" customFormat="1" ht="18" customHeight="1" x14ac:dyDescent="0.25">
      <c r="A298" s="751" t="s">
        <v>567</v>
      </c>
      <c r="B298" s="821" t="s">
        <v>1109</v>
      </c>
      <c r="C298" s="1345">
        <f>' дод1.2без змін'!E469</f>
        <v>900000</v>
      </c>
      <c r="D298" s="822"/>
      <c r="E298" s="760">
        <f t="shared" si="7"/>
        <v>900000</v>
      </c>
      <c r="G298" s="825"/>
    </row>
    <row r="299" spans="1:7" s="738" customFormat="1" ht="18" hidden="1" customHeight="1" x14ac:dyDescent="0.25">
      <c r="A299" s="751" t="s">
        <v>780</v>
      </c>
      <c r="B299" s="821" t="s">
        <v>1110</v>
      </c>
      <c r="C299" s="1345">
        <f>' дод1.2без змін'!E480</f>
        <v>0</v>
      </c>
      <c r="D299" s="822"/>
      <c r="E299" s="760">
        <f t="shared" si="7"/>
        <v>0</v>
      </c>
      <c r="G299" s="825"/>
    </row>
    <row r="300" spans="1:7" s="738" customFormat="1" ht="18" hidden="1" customHeight="1" x14ac:dyDescent="0.25">
      <c r="A300" s="751" t="s">
        <v>781</v>
      </c>
      <c r="B300" s="821" t="s">
        <v>1111</v>
      </c>
      <c r="C300" s="1345">
        <f>' дод1.2без змін'!E491</f>
        <v>0</v>
      </c>
      <c r="D300" s="822"/>
      <c r="E300" s="760">
        <f t="shared" si="7"/>
        <v>0</v>
      </c>
      <c r="G300" s="825"/>
    </row>
    <row r="301" spans="1:7" s="738" customFormat="1" ht="18" hidden="1" customHeight="1" x14ac:dyDescent="0.25">
      <c r="A301" s="751" t="s">
        <v>782</v>
      </c>
      <c r="B301" s="821" t="s">
        <v>1112</v>
      </c>
      <c r="C301" s="1345">
        <f>' дод1.2без змін'!E502</f>
        <v>0</v>
      </c>
      <c r="D301" s="822"/>
      <c r="E301" s="760">
        <f t="shared" si="7"/>
        <v>0</v>
      </c>
      <c r="G301" s="825"/>
    </row>
    <row r="302" spans="1:7" s="738" customFormat="1" ht="18" customHeight="1" x14ac:dyDescent="0.25">
      <c r="A302" s="751" t="s">
        <v>783</v>
      </c>
      <c r="B302" s="821" t="s">
        <v>1113</v>
      </c>
      <c r="C302" s="1345">
        <f>' дод1.2без змін'!E513</f>
        <v>902000</v>
      </c>
      <c r="D302" s="822"/>
      <c r="E302" s="760">
        <f t="shared" si="7"/>
        <v>902000</v>
      </c>
      <c r="G302" s="825"/>
    </row>
    <row r="303" spans="1:7" s="738" customFormat="1" ht="18" hidden="1" customHeight="1" x14ac:dyDescent="0.25">
      <c r="A303" s="751" t="s">
        <v>784</v>
      </c>
      <c r="B303" s="821" t="s">
        <v>1114</v>
      </c>
      <c r="C303" s="1345">
        <f>' дод1.2без змін'!E524</f>
        <v>0</v>
      </c>
      <c r="D303" s="822"/>
      <c r="E303" s="760">
        <f t="shared" si="7"/>
        <v>0</v>
      </c>
      <c r="G303" s="825"/>
    </row>
    <row r="304" spans="1:7" s="738" customFormat="1" ht="18" customHeight="1" x14ac:dyDescent="0.25">
      <c r="A304" s="751" t="s">
        <v>785</v>
      </c>
      <c r="B304" s="821" t="s">
        <v>1115</v>
      </c>
      <c r="C304" s="1345">
        <f>' дод1.2без змін'!E535</f>
        <v>11000</v>
      </c>
      <c r="D304" s="822"/>
      <c r="E304" s="760">
        <f t="shared" si="7"/>
        <v>11000</v>
      </c>
      <c r="G304" s="825"/>
    </row>
    <row r="305" spans="1:7" s="738" customFormat="1" ht="18" customHeight="1" x14ac:dyDescent="0.25">
      <c r="A305" s="751" t="s">
        <v>910</v>
      </c>
      <c r="B305" s="821" t="s">
        <v>1116</v>
      </c>
      <c r="C305" s="1345">
        <f>' дод1.2без змін'!E546</f>
        <v>1937204.81</v>
      </c>
      <c r="D305" s="822"/>
      <c r="E305" s="760">
        <f t="shared" si="7"/>
        <v>1937204.81</v>
      </c>
      <c r="G305" s="825"/>
    </row>
    <row r="306" spans="1:7" s="738" customFormat="1" ht="18" customHeight="1" x14ac:dyDescent="0.25">
      <c r="A306" s="751" t="s">
        <v>911</v>
      </c>
      <c r="B306" s="821" t="s">
        <v>1117</v>
      </c>
      <c r="C306" s="1345">
        <f>' дод1.2без змін'!E557</f>
        <v>1082900</v>
      </c>
      <c r="D306" s="822"/>
      <c r="E306" s="760">
        <f t="shared" si="7"/>
        <v>1082900</v>
      </c>
      <c r="G306" s="825"/>
    </row>
    <row r="307" spans="1:7" s="738" customFormat="1" ht="18" customHeight="1" x14ac:dyDescent="0.25">
      <c r="A307" s="751" t="s">
        <v>1118</v>
      </c>
      <c r="B307" s="821" t="s">
        <v>1119</v>
      </c>
      <c r="C307" s="1345">
        <f>' дод1.2без змін'!E568</f>
        <v>11000</v>
      </c>
      <c r="D307" s="822"/>
      <c r="E307" s="760">
        <f t="shared" si="7"/>
        <v>11000</v>
      </c>
      <c r="G307" s="825"/>
    </row>
    <row r="308" spans="1:7" s="738" customFormat="1" ht="18" hidden="1" customHeight="1" x14ac:dyDescent="0.25">
      <c r="A308" s="751" t="s">
        <v>1120</v>
      </c>
      <c r="B308" s="821" t="s">
        <v>1121</v>
      </c>
      <c r="C308" s="1345">
        <f>' дод1.2без змін'!E579</f>
        <v>0</v>
      </c>
      <c r="D308" s="822"/>
      <c r="E308" s="760">
        <f t="shared" si="7"/>
        <v>0</v>
      </c>
      <c r="G308" s="825"/>
    </row>
    <row r="309" spans="1:7" s="738" customFormat="1" ht="18" hidden="1" customHeight="1" x14ac:dyDescent="0.25">
      <c r="A309" s="751" t="s">
        <v>1122</v>
      </c>
      <c r="B309" s="821" t="s">
        <v>1123</v>
      </c>
      <c r="C309" s="1345">
        <f>' дод1.2без змін'!E590</f>
        <v>0</v>
      </c>
      <c r="D309" s="822"/>
      <c r="E309" s="760">
        <f t="shared" si="7"/>
        <v>0</v>
      </c>
      <c r="G309" s="825"/>
    </row>
    <row r="310" spans="1:7" s="738" customFormat="1" ht="18" hidden="1" customHeight="1" x14ac:dyDescent="0.25">
      <c r="A310" s="751" t="s">
        <v>1124</v>
      </c>
      <c r="B310" s="821" t="s">
        <v>1125</v>
      </c>
      <c r="C310" s="1345">
        <f>' дод1.2без змін'!E601</f>
        <v>0</v>
      </c>
      <c r="D310" s="822"/>
      <c r="E310" s="760">
        <f t="shared" si="7"/>
        <v>0</v>
      </c>
      <c r="G310" s="825"/>
    </row>
    <row r="311" spans="1:7" s="738" customFormat="1" ht="18" hidden="1" customHeight="1" x14ac:dyDescent="0.25">
      <c r="A311" s="751" t="s">
        <v>1126</v>
      </c>
      <c r="B311" s="821" t="s">
        <v>1127</v>
      </c>
      <c r="C311" s="1345">
        <f>' дод1.2без змін'!E612</f>
        <v>0</v>
      </c>
      <c r="D311" s="822"/>
      <c r="E311" s="760">
        <f t="shared" si="7"/>
        <v>0</v>
      </c>
      <c r="G311" s="825"/>
    </row>
    <row r="312" spans="1:7" s="738" customFormat="1" ht="18" hidden="1" customHeight="1" x14ac:dyDescent="0.25">
      <c r="A312" s="751" t="s">
        <v>1128</v>
      </c>
      <c r="B312" s="821" t="s">
        <v>1129</v>
      </c>
      <c r="C312" s="1345">
        <f>' дод1.2без змін'!E623</f>
        <v>0</v>
      </c>
      <c r="D312" s="822"/>
      <c r="E312" s="760">
        <f t="shared" si="7"/>
        <v>0</v>
      </c>
      <c r="G312" s="825"/>
    </row>
    <row r="313" spans="1:7" s="738" customFormat="1" ht="18" hidden="1" customHeight="1" x14ac:dyDescent="0.25">
      <c r="A313" s="751" t="s">
        <v>1130</v>
      </c>
      <c r="B313" s="821" t="s">
        <v>1131</v>
      </c>
      <c r="C313" s="1345">
        <f>' дод1.2без змін'!E634</f>
        <v>0</v>
      </c>
      <c r="D313" s="822"/>
      <c r="E313" s="760">
        <f t="shared" si="7"/>
        <v>0</v>
      </c>
      <c r="G313" s="825"/>
    </row>
    <row r="314" spans="1:7" s="738" customFormat="1" ht="18" hidden="1" customHeight="1" x14ac:dyDescent="0.25">
      <c r="A314" s="751" t="s">
        <v>1132</v>
      </c>
      <c r="B314" s="821" t="s">
        <v>1133</v>
      </c>
      <c r="C314" s="1345">
        <f>' дод1.2без змін'!E645</f>
        <v>0</v>
      </c>
      <c r="D314" s="822"/>
      <c r="E314" s="760">
        <f t="shared" si="7"/>
        <v>0</v>
      </c>
      <c r="G314" s="825"/>
    </row>
    <row r="315" spans="1:7" s="738" customFormat="1" ht="18" hidden="1" customHeight="1" x14ac:dyDescent="0.25">
      <c r="A315" s="751" t="s">
        <v>1134</v>
      </c>
      <c r="B315" s="821" t="s">
        <v>1135</v>
      </c>
      <c r="C315" s="1345">
        <f>' дод1.2без змін'!E656</f>
        <v>0</v>
      </c>
      <c r="D315" s="822"/>
      <c r="E315" s="760">
        <f t="shared" si="7"/>
        <v>0</v>
      </c>
      <c r="G315" s="825"/>
    </row>
    <row r="316" spans="1:7" s="738" customFormat="1" ht="18" customHeight="1" x14ac:dyDescent="0.25">
      <c r="A316" s="751" t="s">
        <v>1136</v>
      </c>
      <c r="B316" s="821" t="s">
        <v>1137</v>
      </c>
      <c r="C316" s="1345">
        <f>' дод1.2без змін'!E667</f>
        <v>8640580</v>
      </c>
      <c r="D316" s="822"/>
      <c r="E316" s="760">
        <f t="shared" si="7"/>
        <v>8640580</v>
      </c>
      <c r="G316" s="825"/>
    </row>
    <row r="317" spans="1:7" s="738" customFormat="1" ht="18" hidden="1" customHeight="1" x14ac:dyDescent="0.25">
      <c r="A317" s="751" t="s">
        <v>1138</v>
      </c>
      <c r="B317" s="821" t="s">
        <v>1139</v>
      </c>
      <c r="C317" s="1345">
        <f>' дод1.2без змін'!E678</f>
        <v>0</v>
      </c>
      <c r="D317" s="822"/>
      <c r="E317" s="760">
        <f t="shared" si="7"/>
        <v>0</v>
      </c>
      <c r="G317" s="825"/>
    </row>
    <row r="318" spans="1:7" s="738" customFormat="1" ht="18" hidden="1" customHeight="1" x14ac:dyDescent="0.25">
      <c r="A318" s="751" t="s">
        <v>1140</v>
      </c>
      <c r="B318" s="821" t="s">
        <v>1141</v>
      </c>
      <c r="C318" s="1345">
        <f>' дод1.2без змін'!E689</f>
        <v>0</v>
      </c>
      <c r="D318" s="822"/>
      <c r="E318" s="760">
        <f t="shared" si="7"/>
        <v>0</v>
      </c>
      <c r="G318" s="825"/>
    </row>
    <row r="319" spans="1:7" s="738" customFormat="1" ht="18" hidden="1" customHeight="1" x14ac:dyDescent="0.25">
      <c r="A319" s="751" t="s">
        <v>1142</v>
      </c>
      <c r="B319" s="821" t="s">
        <v>1143</v>
      </c>
      <c r="C319" s="1345">
        <f>' дод1.2без змін'!E700</f>
        <v>0</v>
      </c>
      <c r="D319" s="822"/>
      <c r="E319" s="760">
        <f t="shared" si="7"/>
        <v>0</v>
      </c>
      <c r="G319" s="825"/>
    </row>
    <row r="320" spans="1:7" s="738" customFormat="1" ht="18" hidden="1" customHeight="1" x14ac:dyDescent="0.25">
      <c r="A320" s="751" t="s">
        <v>1144</v>
      </c>
      <c r="B320" s="821" t="s">
        <v>1145</v>
      </c>
      <c r="C320" s="1345">
        <f>' дод1.2без змін'!E711</f>
        <v>0</v>
      </c>
      <c r="D320" s="822"/>
      <c r="E320" s="760">
        <f t="shared" si="7"/>
        <v>0</v>
      </c>
      <c r="G320" s="825"/>
    </row>
    <row r="321" spans="1:7" s="738" customFormat="1" ht="18" hidden="1" customHeight="1" x14ac:dyDescent="0.25">
      <c r="A321" s="751" t="s">
        <v>1146</v>
      </c>
      <c r="B321" s="821" t="s">
        <v>1147</v>
      </c>
      <c r="C321" s="1345">
        <f>' дод1.2без змін'!E722</f>
        <v>0</v>
      </c>
      <c r="D321" s="822"/>
      <c r="E321" s="760">
        <f t="shared" si="7"/>
        <v>0</v>
      </c>
      <c r="G321" s="825"/>
    </row>
    <row r="322" spans="1:7" s="738" customFormat="1" ht="18" hidden="1" customHeight="1" x14ac:dyDescent="0.25">
      <c r="A322" s="751" t="s">
        <v>1148</v>
      </c>
      <c r="B322" s="821" t="s">
        <v>1149</v>
      </c>
      <c r="C322" s="1345">
        <f>' дод1.2без змін'!E733</f>
        <v>0</v>
      </c>
      <c r="D322" s="822"/>
      <c r="E322" s="760">
        <f t="shared" si="7"/>
        <v>0</v>
      </c>
      <c r="G322" s="825"/>
    </row>
    <row r="323" spans="1:7" s="738" customFormat="1" ht="18" customHeight="1" x14ac:dyDescent="0.25">
      <c r="A323" s="779">
        <v>41053900</v>
      </c>
      <c r="B323" s="780" t="s">
        <v>305</v>
      </c>
      <c r="C323" s="1343">
        <f>SUM(C324:C389)</f>
        <v>24099114</v>
      </c>
      <c r="D323" s="781"/>
      <c r="E323" s="760">
        <f t="shared" si="7"/>
        <v>24099114</v>
      </c>
      <c r="G323" s="825" t="b">
        <f>C323=дод1!E161</f>
        <v>1</v>
      </c>
    </row>
    <row r="324" spans="1:7" s="738" customFormat="1" ht="18" customHeight="1" x14ac:dyDescent="0.25">
      <c r="A324" s="751" t="s">
        <v>526</v>
      </c>
      <c r="B324" s="821" t="s">
        <v>1060</v>
      </c>
      <c r="C324" s="1345">
        <f>' дод1.3'!E31</f>
        <v>192000</v>
      </c>
      <c r="D324" s="822"/>
      <c r="E324" s="760">
        <f t="shared" si="7"/>
        <v>192000</v>
      </c>
      <c r="G324" s="825"/>
    </row>
    <row r="325" spans="1:7" s="738" customFormat="1" ht="18" customHeight="1" x14ac:dyDescent="0.25">
      <c r="A325" s="751" t="s">
        <v>527</v>
      </c>
      <c r="B325" s="821" t="s">
        <v>1069</v>
      </c>
      <c r="C325" s="1345">
        <f>' дод1.3'!E42</f>
        <v>30000</v>
      </c>
      <c r="D325" s="822"/>
      <c r="E325" s="760">
        <f t="shared" si="7"/>
        <v>30000</v>
      </c>
      <c r="G325" s="825"/>
    </row>
    <row r="326" spans="1:7" s="738" customFormat="1" ht="18" customHeight="1" x14ac:dyDescent="0.25">
      <c r="A326" s="751" t="s">
        <v>528</v>
      </c>
      <c r="B326" s="821" t="s">
        <v>1070</v>
      </c>
      <c r="C326" s="1345">
        <f>' дод1.3'!E53</f>
        <v>84000</v>
      </c>
      <c r="D326" s="822"/>
      <c r="E326" s="760">
        <f t="shared" si="7"/>
        <v>84000</v>
      </c>
      <c r="G326" s="825"/>
    </row>
    <row r="327" spans="1:7" s="738" customFormat="1" ht="18" customHeight="1" x14ac:dyDescent="0.25">
      <c r="A327" s="751" t="s">
        <v>529</v>
      </c>
      <c r="B327" s="821" t="s">
        <v>1071</v>
      </c>
      <c r="C327" s="1345">
        <f>' дод1.3'!E64</f>
        <v>166750</v>
      </c>
      <c r="D327" s="822"/>
      <c r="E327" s="760">
        <f t="shared" si="7"/>
        <v>166750</v>
      </c>
      <c r="G327" s="825"/>
    </row>
    <row r="328" spans="1:7" s="738" customFormat="1" ht="18" customHeight="1" x14ac:dyDescent="0.25">
      <c r="A328" s="751" t="s">
        <v>530</v>
      </c>
      <c r="B328" s="821" t="s">
        <v>1072</v>
      </c>
      <c r="C328" s="1345">
        <f>' дод1.3'!E75</f>
        <v>72000</v>
      </c>
      <c r="D328" s="822"/>
      <c r="E328" s="760">
        <f t="shared" si="7"/>
        <v>72000</v>
      </c>
      <c r="G328" s="825"/>
    </row>
    <row r="329" spans="1:7" s="738" customFormat="1" ht="18" customHeight="1" x14ac:dyDescent="0.25">
      <c r="A329" s="751" t="s">
        <v>531</v>
      </c>
      <c r="B329" s="821" t="s">
        <v>1073</v>
      </c>
      <c r="C329" s="1345">
        <f>' дод1.3'!E86</f>
        <v>179760</v>
      </c>
      <c r="D329" s="822"/>
      <c r="E329" s="760">
        <f t="shared" si="7"/>
        <v>179760</v>
      </c>
      <c r="G329" s="825"/>
    </row>
    <row r="330" spans="1:7" s="738" customFormat="1" ht="18" customHeight="1" x14ac:dyDescent="0.25">
      <c r="A330" s="751" t="s">
        <v>532</v>
      </c>
      <c r="B330" s="821" t="s">
        <v>1074</v>
      </c>
      <c r="C330" s="1345">
        <f>' дод1.3'!E97</f>
        <v>41681</v>
      </c>
      <c r="D330" s="822"/>
      <c r="E330" s="760">
        <f t="shared" si="7"/>
        <v>41681</v>
      </c>
      <c r="G330" s="825"/>
    </row>
    <row r="331" spans="1:7" s="738" customFormat="1" ht="18" customHeight="1" x14ac:dyDescent="0.25">
      <c r="A331" s="751" t="s">
        <v>533</v>
      </c>
      <c r="B331" s="821" t="s">
        <v>1075</v>
      </c>
      <c r="C331" s="1345">
        <f>' дод1.3'!E108</f>
        <v>84000</v>
      </c>
      <c r="D331" s="822"/>
      <c r="E331" s="760">
        <f t="shared" si="7"/>
        <v>84000</v>
      </c>
      <c r="G331" s="825"/>
    </row>
    <row r="332" spans="1:7" s="738" customFormat="1" ht="18" customHeight="1" x14ac:dyDescent="0.25">
      <c r="A332" s="751" t="s">
        <v>534</v>
      </c>
      <c r="B332" s="821" t="s">
        <v>1076</v>
      </c>
      <c r="C332" s="1345">
        <f>' дод1.3'!E119</f>
        <v>203370</v>
      </c>
      <c r="D332" s="822"/>
      <c r="E332" s="760">
        <f t="shared" si="7"/>
        <v>203370</v>
      </c>
      <c r="G332" s="825"/>
    </row>
    <row r="333" spans="1:7" s="738" customFormat="1" ht="18" hidden="1" customHeight="1" x14ac:dyDescent="0.25">
      <c r="A333" s="751" t="s">
        <v>535</v>
      </c>
      <c r="B333" s="821" t="s">
        <v>1077</v>
      </c>
      <c r="C333" s="1345">
        <f>' дод1.3'!E130</f>
        <v>0</v>
      </c>
      <c r="D333" s="822"/>
      <c r="E333" s="760">
        <f t="shared" si="7"/>
        <v>0</v>
      </c>
      <c r="G333" s="825"/>
    </row>
    <row r="334" spans="1:7" s="738" customFormat="1" ht="18" customHeight="1" x14ac:dyDescent="0.25">
      <c r="A334" s="751" t="s">
        <v>536</v>
      </c>
      <c r="B334" s="821" t="s">
        <v>1078</v>
      </c>
      <c r="C334" s="1345">
        <f>' дод1.3'!E141</f>
        <v>745271</v>
      </c>
      <c r="D334" s="822"/>
      <c r="E334" s="760">
        <f t="shared" si="7"/>
        <v>745271</v>
      </c>
      <c r="G334" s="825"/>
    </row>
    <row r="335" spans="1:7" s="738" customFormat="1" ht="18" customHeight="1" x14ac:dyDescent="0.25">
      <c r="A335" s="751" t="s">
        <v>537</v>
      </c>
      <c r="B335" s="821" t="s">
        <v>1079</v>
      </c>
      <c r="C335" s="1345">
        <f>' дод1.3'!E152</f>
        <v>1207610</v>
      </c>
      <c r="D335" s="822"/>
      <c r="E335" s="760">
        <f t="shared" si="7"/>
        <v>1207610</v>
      </c>
      <c r="G335" s="825"/>
    </row>
    <row r="336" spans="1:7" s="738" customFormat="1" ht="18" customHeight="1" x14ac:dyDescent="0.25">
      <c r="A336" s="751" t="s">
        <v>538</v>
      </c>
      <c r="B336" s="821" t="s">
        <v>1080</v>
      </c>
      <c r="C336" s="1345">
        <f>' дод1.3'!E163</f>
        <v>981000</v>
      </c>
      <c r="D336" s="822"/>
      <c r="E336" s="760">
        <f t="shared" si="7"/>
        <v>981000</v>
      </c>
      <c r="G336" s="825"/>
    </row>
    <row r="337" spans="1:7" s="738" customFormat="1" ht="18" customHeight="1" x14ac:dyDescent="0.25">
      <c r="A337" s="751" t="s">
        <v>539</v>
      </c>
      <c r="B337" s="821" t="s">
        <v>1081</v>
      </c>
      <c r="C337" s="1345">
        <f>' дод1.3'!E174</f>
        <v>816000</v>
      </c>
      <c r="D337" s="822"/>
      <c r="E337" s="760">
        <f t="shared" si="7"/>
        <v>816000</v>
      </c>
      <c r="G337" s="825"/>
    </row>
    <row r="338" spans="1:7" s="738" customFormat="1" ht="18" customHeight="1" x14ac:dyDescent="0.25">
      <c r="A338" s="751" t="s">
        <v>540</v>
      </c>
      <c r="B338" s="821" t="s">
        <v>1082</v>
      </c>
      <c r="C338" s="1345">
        <f>' дод1.3'!E185</f>
        <v>78000</v>
      </c>
      <c r="D338" s="822"/>
      <c r="E338" s="760">
        <f t="shared" si="7"/>
        <v>78000</v>
      </c>
      <c r="G338" s="825"/>
    </row>
    <row r="339" spans="1:7" s="738" customFormat="1" ht="18" customHeight="1" x14ac:dyDescent="0.25">
      <c r="A339" s="751" t="s">
        <v>541</v>
      </c>
      <c r="B339" s="821" t="s">
        <v>1083</v>
      </c>
      <c r="C339" s="1345">
        <f>' дод1.3'!E196</f>
        <v>66000</v>
      </c>
      <c r="D339" s="822"/>
      <c r="E339" s="760">
        <f t="shared" si="7"/>
        <v>66000</v>
      </c>
      <c r="G339" s="825"/>
    </row>
    <row r="340" spans="1:7" s="738" customFormat="1" ht="18" customHeight="1" x14ac:dyDescent="0.25">
      <c r="A340" s="751" t="s">
        <v>542</v>
      </c>
      <c r="B340" s="821" t="s">
        <v>1084</v>
      </c>
      <c r="C340" s="1345">
        <f>' дод1.3'!E207</f>
        <v>959000</v>
      </c>
      <c r="D340" s="822"/>
      <c r="E340" s="760">
        <f t="shared" si="7"/>
        <v>959000</v>
      </c>
      <c r="G340" s="825"/>
    </row>
    <row r="341" spans="1:7" s="738" customFormat="1" ht="18" hidden="1" customHeight="1" x14ac:dyDescent="0.25">
      <c r="A341" s="751" t="s">
        <v>543</v>
      </c>
      <c r="B341" s="821" t="s">
        <v>1085</v>
      </c>
      <c r="C341" s="1345">
        <f>' дод1.3'!E218</f>
        <v>0</v>
      </c>
      <c r="D341" s="822"/>
      <c r="E341" s="760">
        <f t="shared" si="7"/>
        <v>0</v>
      </c>
      <c r="G341" s="825"/>
    </row>
    <row r="342" spans="1:7" s="738" customFormat="1" ht="18" customHeight="1" x14ac:dyDescent="0.25">
      <c r="A342" s="751" t="s">
        <v>544</v>
      </c>
      <c r="B342" s="821" t="s">
        <v>1086</v>
      </c>
      <c r="C342" s="1345">
        <f>' дод1.3'!E229</f>
        <v>582000</v>
      </c>
      <c r="D342" s="822"/>
      <c r="E342" s="760">
        <f t="shared" si="7"/>
        <v>582000</v>
      </c>
      <c r="G342" s="825"/>
    </row>
    <row r="343" spans="1:7" s="738" customFormat="1" ht="18" customHeight="1" x14ac:dyDescent="0.25">
      <c r="A343" s="751" t="s">
        <v>545</v>
      </c>
      <c r="B343" s="821" t="s">
        <v>1087</v>
      </c>
      <c r="C343" s="1345">
        <f>' дод1.3'!E240</f>
        <v>1058000</v>
      </c>
      <c r="D343" s="822"/>
      <c r="E343" s="760">
        <f t="shared" si="7"/>
        <v>1058000</v>
      </c>
      <c r="G343" s="825"/>
    </row>
    <row r="344" spans="1:7" s="738" customFormat="1" ht="18" customHeight="1" x14ac:dyDescent="0.25">
      <c r="A344" s="751" t="s">
        <v>546</v>
      </c>
      <c r="B344" s="821" t="s">
        <v>1088</v>
      </c>
      <c r="C344" s="1345">
        <f>' дод1.3'!E251</f>
        <v>144000</v>
      </c>
      <c r="D344" s="822"/>
      <c r="E344" s="760">
        <f t="shared" si="7"/>
        <v>144000</v>
      </c>
      <c r="G344" s="825"/>
    </row>
    <row r="345" spans="1:7" s="738" customFormat="1" ht="18" customHeight="1" x14ac:dyDescent="0.25">
      <c r="A345" s="751" t="s">
        <v>547</v>
      </c>
      <c r="B345" s="821" t="s">
        <v>1089</v>
      </c>
      <c r="C345" s="1345">
        <f>' дод1.3'!E262</f>
        <v>24000</v>
      </c>
      <c r="D345" s="822"/>
      <c r="E345" s="760">
        <f t="shared" si="7"/>
        <v>24000</v>
      </c>
      <c r="G345" s="825"/>
    </row>
    <row r="346" spans="1:7" s="738" customFormat="1" ht="18" hidden="1" customHeight="1" x14ac:dyDescent="0.25">
      <c r="A346" s="751" t="s">
        <v>548</v>
      </c>
      <c r="B346" s="821" t="s">
        <v>1090</v>
      </c>
      <c r="C346" s="1345">
        <f>' дод1.3'!E273</f>
        <v>0</v>
      </c>
      <c r="D346" s="822"/>
      <c r="E346" s="760">
        <f t="shared" si="7"/>
        <v>0</v>
      </c>
      <c r="G346" s="825"/>
    </row>
    <row r="347" spans="1:7" s="738" customFormat="1" ht="18" customHeight="1" x14ac:dyDescent="0.25">
      <c r="A347" s="751" t="s">
        <v>549</v>
      </c>
      <c r="B347" s="821" t="s">
        <v>1091</v>
      </c>
      <c r="C347" s="1345">
        <f>' дод1.3'!E284</f>
        <v>29772</v>
      </c>
      <c r="D347" s="822"/>
      <c r="E347" s="760">
        <f t="shared" si="7"/>
        <v>29772</v>
      </c>
      <c r="G347" s="825"/>
    </row>
    <row r="348" spans="1:7" s="738" customFormat="1" ht="18" customHeight="1" x14ac:dyDescent="0.25">
      <c r="A348" s="751" t="s">
        <v>550</v>
      </c>
      <c r="B348" s="821" t="s">
        <v>1092</v>
      </c>
      <c r="C348" s="1345">
        <f>' дод1.3'!E295</f>
        <v>12000</v>
      </c>
      <c r="D348" s="822"/>
      <c r="E348" s="760">
        <f t="shared" si="7"/>
        <v>12000</v>
      </c>
      <c r="G348" s="825"/>
    </row>
    <row r="349" spans="1:7" s="738" customFormat="1" ht="18" customHeight="1" x14ac:dyDescent="0.25">
      <c r="A349" s="751" t="s">
        <v>551</v>
      </c>
      <c r="B349" s="821" t="s">
        <v>1093</v>
      </c>
      <c r="C349" s="1345">
        <f>' дод1.3'!E305</f>
        <v>24000</v>
      </c>
      <c r="D349" s="822"/>
      <c r="E349" s="760">
        <f t="shared" ref="E349:E392" si="8">C349</f>
        <v>24000</v>
      </c>
      <c r="G349" s="825"/>
    </row>
    <row r="350" spans="1:7" s="738" customFormat="1" ht="18" customHeight="1" x14ac:dyDescent="0.25">
      <c r="A350" s="751" t="s">
        <v>552</v>
      </c>
      <c r="B350" s="821" t="s">
        <v>1094</v>
      </c>
      <c r="C350" s="1345">
        <f>' дод1.3'!E316</f>
        <v>59544</v>
      </c>
      <c r="D350" s="822"/>
      <c r="E350" s="760">
        <f t="shared" si="8"/>
        <v>59544</v>
      </c>
      <c r="G350" s="825"/>
    </row>
    <row r="351" spans="1:7" s="738" customFormat="1" ht="18" customHeight="1" x14ac:dyDescent="0.25">
      <c r="A351" s="751" t="s">
        <v>553</v>
      </c>
      <c r="B351" s="821" t="s">
        <v>1095</v>
      </c>
      <c r="C351" s="1345">
        <f>' дод1.3'!E327</f>
        <v>700000</v>
      </c>
      <c r="D351" s="822"/>
      <c r="E351" s="760">
        <f t="shared" si="8"/>
        <v>700000</v>
      </c>
      <c r="G351" s="825"/>
    </row>
    <row r="352" spans="1:7" s="738" customFormat="1" ht="18" customHeight="1" x14ac:dyDescent="0.25">
      <c r="A352" s="751" t="s">
        <v>554</v>
      </c>
      <c r="B352" s="821" t="s">
        <v>1096</v>
      </c>
      <c r="C352" s="1345">
        <f>' дод1.3'!E338</f>
        <v>585400</v>
      </c>
      <c r="D352" s="822"/>
      <c r="E352" s="760">
        <f t="shared" si="8"/>
        <v>585400</v>
      </c>
      <c r="G352" s="825"/>
    </row>
    <row r="353" spans="1:7" s="738" customFormat="1" ht="18" customHeight="1" x14ac:dyDescent="0.25">
      <c r="A353" s="751" t="s">
        <v>555</v>
      </c>
      <c r="B353" s="821" t="s">
        <v>1097</v>
      </c>
      <c r="C353" s="1345">
        <f>' дод1.3'!E349</f>
        <v>48000</v>
      </c>
      <c r="D353" s="822"/>
      <c r="E353" s="760">
        <f t="shared" si="8"/>
        <v>48000</v>
      </c>
      <c r="G353" s="825"/>
    </row>
    <row r="354" spans="1:7" s="738" customFormat="1" ht="18" customHeight="1" x14ac:dyDescent="0.25">
      <c r="A354" s="751" t="s">
        <v>556</v>
      </c>
      <c r="B354" s="821" t="s">
        <v>1098</v>
      </c>
      <c r="C354" s="1345">
        <f>' дод1.3'!E360</f>
        <v>140000</v>
      </c>
      <c r="D354" s="822"/>
      <c r="E354" s="760">
        <f t="shared" si="8"/>
        <v>140000</v>
      </c>
      <c r="G354" s="825"/>
    </row>
    <row r="355" spans="1:7" s="738" customFormat="1" ht="18" customHeight="1" x14ac:dyDescent="0.25">
      <c r="A355" s="751" t="s">
        <v>557</v>
      </c>
      <c r="B355" s="821" t="s">
        <v>1099</v>
      </c>
      <c r="C355" s="1345">
        <f>' дод1.3'!E371</f>
        <v>240000</v>
      </c>
      <c r="D355" s="822"/>
      <c r="E355" s="760">
        <f t="shared" si="8"/>
        <v>240000</v>
      </c>
      <c r="G355" s="825"/>
    </row>
    <row r="356" spans="1:7" s="738" customFormat="1" ht="18" customHeight="1" x14ac:dyDescent="0.25">
      <c r="A356" s="751" t="s">
        <v>558</v>
      </c>
      <c r="B356" s="821" t="s">
        <v>1100</v>
      </c>
      <c r="C356" s="1345">
        <f>' дод1.3'!E382</f>
        <v>25000</v>
      </c>
      <c r="D356" s="822"/>
      <c r="E356" s="760">
        <f t="shared" si="8"/>
        <v>25000</v>
      </c>
      <c r="G356" s="825"/>
    </row>
    <row r="357" spans="1:7" s="738" customFormat="1" ht="18" customHeight="1" x14ac:dyDescent="0.25">
      <c r="A357" s="751" t="s">
        <v>559</v>
      </c>
      <c r="B357" s="821" t="s">
        <v>1101</v>
      </c>
      <c r="C357" s="1345">
        <f>' дод1.3'!E393</f>
        <v>190032</v>
      </c>
      <c r="D357" s="822"/>
      <c r="E357" s="760">
        <f t="shared" si="8"/>
        <v>190032</v>
      </c>
      <c r="G357" s="825"/>
    </row>
    <row r="358" spans="1:7" s="738" customFormat="1" ht="18" customHeight="1" x14ac:dyDescent="0.25">
      <c r="A358" s="751" t="s">
        <v>560</v>
      </c>
      <c r="B358" s="821" t="s">
        <v>1102</v>
      </c>
      <c r="C358" s="1345">
        <f>' дод1.3'!E404</f>
        <v>78000</v>
      </c>
      <c r="D358" s="822"/>
      <c r="E358" s="760">
        <f t="shared" si="8"/>
        <v>78000</v>
      </c>
      <c r="G358" s="825"/>
    </row>
    <row r="359" spans="1:7" s="738" customFormat="1" ht="18" customHeight="1" x14ac:dyDescent="0.25">
      <c r="A359" s="751" t="s">
        <v>561</v>
      </c>
      <c r="B359" s="821" t="s">
        <v>1103</v>
      </c>
      <c r="C359" s="1345">
        <f>' дод1.3'!E415</f>
        <v>118128</v>
      </c>
      <c r="D359" s="822"/>
      <c r="E359" s="760">
        <f t="shared" si="8"/>
        <v>118128</v>
      </c>
      <c r="G359" s="825"/>
    </row>
    <row r="360" spans="1:7" s="738" customFormat="1" ht="18" customHeight="1" x14ac:dyDescent="0.25">
      <c r="A360" s="751" t="s">
        <v>562</v>
      </c>
      <c r="B360" s="821" t="s">
        <v>1104</v>
      </c>
      <c r="C360" s="1345">
        <f>' дод1.3'!E426</f>
        <v>1868000</v>
      </c>
      <c r="D360" s="822"/>
      <c r="E360" s="760">
        <f t="shared" si="8"/>
        <v>1868000</v>
      </c>
      <c r="G360" s="825"/>
    </row>
    <row r="361" spans="1:7" s="738" customFormat="1" ht="18" customHeight="1" x14ac:dyDescent="0.25">
      <c r="A361" s="751" t="s">
        <v>563</v>
      </c>
      <c r="B361" s="821" t="s">
        <v>1105</v>
      </c>
      <c r="C361" s="1345">
        <f>' дод1.3'!E437</f>
        <v>116954</v>
      </c>
      <c r="D361" s="822"/>
      <c r="E361" s="760">
        <f t="shared" si="8"/>
        <v>116954</v>
      </c>
      <c r="G361" s="825"/>
    </row>
    <row r="362" spans="1:7" s="738" customFormat="1" ht="18" customHeight="1" x14ac:dyDescent="0.25">
      <c r="A362" s="751" t="s">
        <v>564</v>
      </c>
      <c r="B362" s="821" t="s">
        <v>1106</v>
      </c>
      <c r="C362" s="1345">
        <f>' дод1.3'!E448</f>
        <v>132000</v>
      </c>
      <c r="D362" s="822"/>
      <c r="E362" s="760">
        <f t="shared" si="8"/>
        <v>132000</v>
      </c>
      <c r="G362" s="825"/>
    </row>
    <row r="363" spans="1:7" s="738" customFormat="1" ht="18" customHeight="1" x14ac:dyDescent="0.25">
      <c r="A363" s="751" t="s">
        <v>565</v>
      </c>
      <c r="B363" s="821" t="s">
        <v>1107</v>
      </c>
      <c r="C363" s="1345">
        <f>' дод1.3'!E459</f>
        <v>1059500</v>
      </c>
      <c r="D363" s="822"/>
      <c r="E363" s="760">
        <f t="shared" si="8"/>
        <v>1059500</v>
      </c>
      <c r="G363" s="825"/>
    </row>
    <row r="364" spans="1:7" s="738" customFormat="1" ht="18" customHeight="1" x14ac:dyDescent="0.25">
      <c r="A364" s="751" t="s">
        <v>566</v>
      </c>
      <c r="B364" s="821" t="s">
        <v>1108</v>
      </c>
      <c r="C364" s="1345">
        <f>' дод1.3'!E470</f>
        <v>292000</v>
      </c>
      <c r="D364" s="822"/>
      <c r="E364" s="760">
        <f t="shared" si="8"/>
        <v>292000</v>
      </c>
      <c r="G364" s="825"/>
    </row>
    <row r="365" spans="1:7" s="738" customFormat="1" ht="18" customHeight="1" x14ac:dyDescent="0.25">
      <c r="A365" s="751" t="s">
        <v>567</v>
      </c>
      <c r="B365" s="821" t="s">
        <v>1109</v>
      </c>
      <c r="C365" s="1345">
        <f>' дод1.3'!E481</f>
        <v>96000</v>
      </c>
      <c r="D365" s="822"/>
      <c r="E365" s="760">
        <f t="shared" si="8"/>
        <v>96000</v>
      </c>
      <c r="G365" s="825"/>
    </row>
    <row r="366" spans="1:7" s="738" customFormat="1" ht="18" hidden="1" customHeight="1" x14ac:dyDescent="0.25">
      <c r="A366" s="751" t="s">
        <v>780</v>
      </c>
      <c r="B366" s="821" t="s">
        <v>1110</v>
      </c>
      <c r="C366" s="1345">
        <f>' дод1.3'!E492</f>
        <v>0</v>
      </c>
      <c r="D366" s="822"/>
      <c r="E366" s="760">
        <f t="shared" si="8"/>
        <v>0</v>
      </c>
      <c r="G366" s="825"/>
    </row>
    <row r="367" spans="1:7" s="738" customFormat="1" ht="18" customHeight="1" x14ac:dyDescent="0.25">
      <c r="A367" s="751" t="s">
        <v>781</v>
      </c>
      <c r="B367" s="821" t="s">
        <v>1111</v>
      </c>
      <c r="C367" s="1345">
        <f>' дод1.3'!E503</f>
        <v>11909</v>
      </c>
      <c r="D367" s="822"/>
      <c r="E367" s="760">
        <f t="shared" si="8"/>
        <v>11909</v>
      </c>
      <c r="G367" s="825"/>
    </row>
    <row r="368" spans="1:7" s="738" customFormat="1" ht="18" customHeight="1" x14ac:dyDescent="0.25">
      <c r="A368" s="751" t="s">
        <v>782</v>
      </c>
      <c r="B368" s="821" t="s">
        <v>1112</v>
      </c>
      <c r="C368" s="1345">
        <f>' дод1.3'!E514</f>
        <v>50000</v>
      </c>
      <c r="D368" s="822"/>
      <c r="E368" s="760">
        <f t="shared" si="8"/>
        <v>50000</v>
      </c>
      <c r="G368" s="825"/>
    </row>
    <row r="369" spans="1:7" s="738" customFormat="1" ht="18" hidden="1" customHeight="1" x14ac:dyDescent="0.25">
      <c r="A369" s="751" t="s">
        <v>783</v>
      </c>
      <c r="B369" s="821" t="s">
        <v>1113</v>
      </c>
      <c r="C369" s="1345">
        <f>' дод1.3'!E525</f>
        <v>0</v>
      </c>
      <c r="D369" s="822"/>
      <c r="E369" s="760">
        <f t="shared" si="8"/>
        <v>0</v>
      </c>
      <c r="G369" s="825"/>
    </row>
    <row r="370" spans="1:7" s="738" customFormat="1" ht="18" customHeight="1" x14ac:dyDescent="0.25">
      <c r="A370" s="751" t="s">
        <v>784</v>
      </c>
      <c r="B370" s="821" t="s">
        <v>1114</v>
      </c>
      <c r="C370" s="1345">
        <f>' дод1.3'!E536</f>
        <v>896000</v>
      </c>
      <c r="D370" s="822"/>
      <c r="E370" s="760">
        <f t="shared" si="8"/>
        <v>896000</v>
      </c>
      <c r="G370" s="825"/>
    </row>
    <row r="371" spans="1:7" s="738" customFormat="1" ht="18" hidden="1" customHeight="1" x14ac:dyDescent="0.25">
      <c r="A371" s="751" t="s">
        <v>785</v>
      </c>
      <c r="B371" s="821" t="s">
        <v>1115</v>
      </c>
      <c r="C371" s="1345">
        <f>' дод1.3'!E546</f>
        <v>0</v>
      </c>
      <c r="D371" s="822"/>
      <c r="E371" s="760">
        <f t="shared" si="8"/>
        <v>0</v>
      </c>
      <c r="G371" s="825"/>
    </row>
    <row r="372" spans="1:7" s="738" customFormat="1" ht="18" customHeight="1" x14ac:dyDescent="0.25">
      <c r="A372" s="751" t="s">
        <v>910</v>
      </c>
      <c r="B372" s="821" t="s">
        <v>1116</v>
      </c>
      <c r="C372" s="1345">
        <f>' дод1.3'!E557</f>
        <v>2000000</v>
      </c>
      <c r="D372" s="822"/>
      <c r="E372" s="760">
        <f t="shared" si="8"/>
        <v>2000000</v>
      </c>
      <c r="G372" s="825"/>
    </row>
    <row r="373" spans="1:7" s="738" customFormat="1" ht="18" customHeight="1" x14ac:dyDescent="0.25">
      <c r="A373" s="751" t="s">
        <v>911</v>
      </c>
      <c r="B373" s="821" t="s">
        <v>1117</v>
      </c>
      <c r="C373" s="1345">
        <f>' дод1.3'!E569</f>
        <v>765710</v>
      </c>
      <c r="D373" s="822"/>
      <c r="E373" s="760">
        <f t="shared" si="8"/>
        <v>765710</v>
      </c>
      <c r="G373" s="825"/>
    </row>
    <row r="374" spans="1:7" s="738" customFormat="1" ht="18" customHeight="1" x14ac:dyDescent="0.25">
      <c r="A374" s="751" t="s">
        <v>1118</v>
      </c>
      <c r="B374" s="821" t="s">
        <v>1119</v>
      </c>
      <c r="C374" s="1345">
        <f>' дод1.3'!E580</f>
        <v>276000</v>
      </c>
      <c r="D374" s="822"/>
      <c r="E374" s="760">
        <f t="shared" si="8"/>
        <v>276000</v>
      </c>
      <c r="G374" s="825"/>
    </row>
    <row r="375" spans="1:7" s="738" customFormat="1" ht="18" hidden="1" customHeight="1" x14ac:dyDescent="0.25">
      <c r="A375" s="751" t="s">
        <v>1120</v>
      </c>
      <c r="B375" s="821" t="s">
        <v>1121</v>
      </c>
      <c r="C375" s="1345">
        <f>' дод1.3'!E591</f>
        <v>0</v>
      </c>
      <c r="D375" s="822"/>
      <c r="E375" s="760">
        <f t="shared" si="8"/>
        <v>0</v>
      </c>
      <c r="G375" s="825"/>
    </row>
    <row r="376" spans="1:7" s="738" customFormat="1" ht="18" customHeight="1" x14ac:dyDescent="0.25">
      <c r="A376" s="751" t="s">
        <v>1122</v>
      </c>
      <c r="B376" s="821" t="s">
        <v>1123</v>
      </c>
      <c r="C376" s="1345">
        <f>' дод1.3'!E602</f>
        <v>599700</v>
      </c>
      <c r="D376" s="822"/>
      <c r="E376" s="760">
        <f t="shared" si="8"/>
        <v>599700</v>
      </c>
      <c r="G376" s="825"/>
    </row>
    <row r="377" spans="1:7" s="738" customFormat="1" ht="18" customHeight="1" x14ac:dyDescent="0.25">
      <c r="A377" s="751" t="s">
        <v>1124</v>
      </c>
      <c r="B377" s="821" t="s">
        <v>1125</v>
      </c>
      <c r="C377" s="1345">
        <f>' дод1.3'!E613</f>
        <v>178632</v>
      </c>
      <c r="D377" s="822"/>
      <c r="E377" s="760">
        <f t="shared" si="8"/>
        <v>178632</v>
      </c>
      <c r="G377" s="825"/>
    </row>
    <row r="378" spans="1:7" s="738" customFormat="1" ht="18" customHeight="1" x14ac:dyDescent="0.25">
      <c r="A378" s="751" t="s">
        <v>1126</v>
      </c>
      <c r="B378" s="821" t="s">
        <v>1127</v>
      </c>
      <c r="C378" s="1345">
        <f>' дод1.3'!E624</f>
        <v>528000</v>
      </c>
      <c r="D378" s="822"/>
      <c r="E378" s="760">
        <f t="shared" si="8"/>
        <v>528000</v>
      </c>
      <c r="G378" s="825"/>
    </row>
    <row r="379" spans="1:7" s="738" customFormat="1" ht="18" customHeight="1" x14ac:dyDescent="0.25">
      <c r="A379" s="751" t="s">
        <v>1128</v>
      </c>
      <c r="B379" s="821" t="s">
        <v>1129</v>
      </c>
      <c r="C379" s="1345">
        <f>' дод1.3'!E635</f>
        <v>303675</v>
      </c>
      <c r="D379" s="822"/>
      <c r="E379" s="760">
        <f t="shared" si="8"/>
        <v>303675</v>
      </c>
      <c r="G379" s="825"/>
    </row>
    <row r="380" spans="1:7" s="738" customFormat="1" ht="18" customHeight="1" x14ac:dyDescent="0.25">
      <c r="A380" s="751" t="s">
        <v>1130</v>
      </c>
      <c r="B380" s="821" t="s">
        <v>1131</v>
      </c>
      <c r="C380" s="1345">
        <f>' дод1.3'!E646</f>
        <v>83200</v>
      </c>
      <c r="D380" s="822"/>
      <c r="E380" s="760">
        <f t="shared" si="8"/>
        <v>83200</v>
      </c>
      <c r="G380" s="825"/>
    </row>
    <row r="381" spans="1:7" s="738" customFormat="1" ht="18" customHeight="1" x14ac:dyDescent="0.25">
      <c r="A381" s="751" t="s">
        <v>1132</v>
      </c>
      <c r="B381" s="821" t="s">
        <v>1133</v>
      </c>
      <c r="C381" s="1345">
        <f>' дод1.3'!E657</f>
        <v>210000</v>
      </c>
      <c r="D381" s="822"/>
      <c r="E381" s="760">
        <f t="shared" si="8"/>
        <v>210000</v>
      </c>
      <c r="G381" s="825"/>
    </row>
    <row r="382" spans="1:7" s="738" customFormat="1" ht="18" customHeight="1" x14ac:dyDescent="0.25">
      <c r="A382" s="751" t="s">
        <v>1134</v>
      </c>
      <c r="B382" s="821" t="s">
        <v>1135</v>
      </c>
      <c r="C382" s="1345">
        <f>' дод1.3'!E668</f>
        <v>108000</v>
      </c>
      <c r="D382" s="822"/>
      <c r="E382" s="760">
        <f t="shared" si="8"/>
        <v>108000</v>
      </c>
      <c r="G382" s="825"/>
    </row>
    <row r="383" spans="1:7" s="738" customFormat="1" ht="18" customHeight="1" x14ac:dyDescent="0.25">
      <c r="A383" s="751" t="s">
        <v>1136</v>
      </c>
      <c r="B383" s="821" t="s">
        <v>1137</v>
      </c>
      <c r="C383" s="1345">
        <f>' дод1.3'!E678</f>
        <v>1235940</v>
      </c>
      <c r="D383" s="822"/>
      <c r="E383" s="760">
        <f t="shared" si="8"/>
        <v>1235940</v>
      </c>
      <c r="G383" s="825"/>
    </row>
    <row r="384" spans="1:7" s="738" customFormat="1" ht="18" customHeight="1" x14ac:dyDescent="0.25">
      <c r="A384" s="751" t="s">
        <v>1138</v>
      </c>
      <c r="B384" s="821" t="s">
        <v>1139</v>
      </c>
      <c r="C384" s="1345">
        <f>' дод1.3'!E689</f>
        <v>833616</v>
      </c>
      <c r="D384" s="822"/>
      <c r="E384" s="760">
        <f t="shared" si="8"/>
        <v>833616</v>
      </c>
      <c r="G384" s="825"/>
    </row>
    <row r="385" spans="1:7" s="738" customFormat="1" ht="18" customHeight="1" x14ac:dyDescent="0.25">
      <c r="A385" s="751" t="s">
        <v>1140</v>
      </c>
      <c r="B385" s="821" t="s">
        <v>1141</v>
      </c>
      <c r="C385" s="1345">
        <f>' дод1.3'!E700</f>
        <v>624000</v>
      </c>
      <c r="D385" s="822"/>
      <c r="E385" s="760">
        <f t="shared" si="8"/>
        <v>624000</v>
      </c>
      <c r="G385" s="825"/>
    </row>
    <row r="386" spans="1:7" s="738" customFormat="1" ht="18" customHeight="1" x14ac:dyDescent="0.25">
      <c r="A386" s="751" t="s">
        <v>1142</v>
      </c>
      <c r="B386" s="821" t="s">
        <v>1143</v>
      </c>
      <c r="C386" s="1345">
        <f>' дод1.3'!E711</f>
        <v>286680</v>
      </c>
      <c r="D386" s="822"/>
      <c r="E386" s="760">
        <f t="shared" si="8"/>
        <v>286680</v>
      </c>
      <c r="G386" s="825"/>
    </row>
    <row r="387" spans="1:7" s="738" customFormat="1" ht="18" customHeight="1" x14ac:dyDescent="0.25">
      <c r="A387" s="751" t="s">
        <v>1144</v>
      </c>
      <c r="B387" s="821" t="s">
        <v>1145</v>
      </c>
      <c r="C387" s="1345">
        <f>' дод1.3'!E722</f>
        <v>1039280</v>
      </c>
      <c r="D387" s="822"/>
      <c r="E387" s="760">
        <f t="shared" si="8"/>
        <v>1039280</v>
      </c>
      <c r="G387" s="825"/>
    </row>
    <row r="388" spans="1:7" s="738" customFormat="1" ht="18" customHeight="1" x14ac:dyDescent="0.25">
      <c r="A388" s="751" t="s">
        <v>1146</v>
      </c>
      <c r="B388" s="821" t="s">
        <v>1147</v>
      </c>
      <c r="C388" s="1345">
        <f>' дод1.3'!E733</f>
        <v>300000</v>
      </c>
      <c r="D388" s="822"/>
      <c r="E388" s="760">
        <f t="shared" si="8"/>
        <v>300000</v>
      </c>
      <c r="G388" s="825"/>
    </row>
    <row r="389" spans="1:7" s="738" customFormat="1" ht="18" customHeight="1" x14ac:dyDescent="0.25">
      <c r="A389" s="751" t="s">
        <v>1148</v>
      </c>
      <c r="B389" s="821" t="s">
        <v>1149</v>
      </c>
      <c r="C389" s="1345">
        <f>' дод1.3'!E744</f>
        <v>240000</v>
      </c>
      <c r="D389" s="822"/>
      <c r="E389" s="760">
        <f t="shared" si="8"/>
        <v>240000</v>
      </c>
      <c r="G389" s="825"/>
    </row>
    <row r="390" spans="1:7" s="752" customFormat="1" ht="18.75" x14ac:dyDescent="0.25">
      <c r="A390" s="782" t="s">
        <v>1062</v>
      </c>
      <c r="B390" s="783" t="s">
        <v>1063</v>
      </c>
      <c r="C390" s="1347">
        <f>C391+C392</f>
        <v>2245675051.8099999</v>
      </c>
      <c r="D390" s="784" t="s">
        <v>746</v>
      </c>
      <c r="E390" s="760">
        <f t="shared" si="8"/>
        <v>2245675051.8099999</v>
      </c>
      <c r="G390" s="825"/>
    </row>
    <row r="391" spans="1:7" s="752" customFormat="1" ht="18.75" x14ac:dyDescent="0.25">
      <c r="A391" s="785" t="s">
        <v>1062</v>
      </c>
      <c r="B391" s="770" t="s">
        <v>114</v>
      </c>
      <c r="C391" s="1348">
        <f>C13+C15+C23+C29+C31+C33+C45+C35+C25+C112+C41+C17+C37+C39+C21+C19+C27+C43</f>
        <v>932994929</v>
      </c>
      <c r="D391" s="786" t="s">
        <v>746</v>
      </c>
      <c r="E391" s="760">
        <f t="shared" si="8"/>
        <v>932994929</v>
      </c>
      <c r="G391" s="825"/>
    </row>
    <row r="392" spans="1:7" s="752" customFormat="1" ht="18.75" x14ac:dyDescent="0.25">
      <c r="A392" s="785" t="s">
        <v>1062</v>
      </c>
      <c r="B392" s="770" t="s">
        <v>115</v>
      </c>
      <c r="C392" s="1348">
        <f>C185+C189+C256+C323+C181+C187+C183</f>
        <v>1312680122.8099999</v>
      </c>
      <c r="D392" s="786" t="s">
        <v>746</v>
      </c>
      <c r="E392" s="760">
        <f t="shared" si="8"/>
        <v>1312680122.8099999</v>
      </c>
      <c r="G392" s="825"/>
    </row>
    <row r="393" spans="1:7" hidden="1" x14ac:dyDescent="0.25"/>
    <row r="394" spans="1:7" s="755" customFormat="1" ht="26.25" hidden="1" x14ac:dyDescent="0.4">
      <c r="A394" s="753"/>
      <c r="B394" s="754" t="s">
        <v>1159</v>
      </c>
      <c r="C394" s="756">
        <f>C390-дод1!C93</f>
        <v>0</v>
      </c>
      <c r="D394" s="756"/>
      <c r="G394" s="824"/>
    </row>
    <row r="395" spans="1:7" s="755" customFormat="1" ht="26.25" hidden="1" x14ac:dyDescent="0.4">
      <c r="A395" s="753"/>
      <c r="B395" s="754" t="s">
        <v>1</v>
      </c>
      <c r="C395" s="909">
        <f>C391-дод1!D93</f>
        <v>0</v>
      </c>
      <c r="G395" s="824"/>
    </row>
    <row r="396" spans="1:7" s="755" customFormat="1" ht="26.25" hidden="1" x14ac:dyDescent="0.4">
      <c r="A396" s="753"/>
      <c r="B396" s="754" t="s">
        <v>2</v>
      </c>
      <c r="C396" s="756">
        <f>C392-дод1!E93</f>
        <v>0</v>
      </c>
      <c r="D396" s="756"/>
      <c r="G396" s="824"/>
    </row>
  </sheetData>
  <autoFilter ref="E1:E396">
    <filterColumn colId="0">
      <customFilters and="1">
        <customFilter operator="greaterThan" val="0"/>
      </customFilters>
    </filterColumn>
  </autoFilter>
  <mergeCells count="2">
    <mergeCell ref="A8:C8"/>
    <mergeCell ref="C1:F1"/>
  </mergeCells>
  <printOptions horizontalCentered="1"/>
  <pageMargins left="0.70866141732283472" right="0.70866141732283472" top="0.35433070866141736" bottom="0.35433070866141736"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AW1740"/>
  <sheetViews>
    <sheetView view="pageBreakPreview" zoomScale="70" zoomScaleNormal="59" zoomScaleSheetLayoutView="70" workbookViewId="0">
      <pane xSplit="4" ySplit="4" topLeftCell="H5" activePane="bottomRight" state="frozen"/>
      <selection pane="topRight" activeCell="E1" sqref="E1"/>
      <selection pane="bottomLeft" activeCell="A5" sqref="A5"/>
      <selection pane="bottomRight" activeCell="M1" sqref="M1:W65536"/>
    </sheetView>
  </sheetViews>
  <sheetFormatPr defaultRowHeight="18" x14ac:dyDescent="0.25"/>
  <cols>
    <col min="1" max="1" width="19.42578125" style="731" customWidth="1"/>
    <col min="2" max="2" width="16.7109375" style="731" customWidth="1"/>
    <col min="3" max="3" width="66.5703125" style="742" customWidth="1"/>
    <col min="4" max="4" width="23" style="301" customWidth="1"/>
    <col min="5" max="5" width="18.85546875" style="301" customWidth="1"/>
    <col min="6" max="6" width="18.42578125" style="301" customWidth="1"/>
    <col min="7" max="7" width="21.7109375" style="301" customWidth="1"/>
    <col min="8" max="8" width="23.28515625" style="301" customWidth="1"/>
    <col min="9" max="9" width="30.7109375" style="301" customWidth="1"/>
    <col min="10" max="10" width="15.7109375" style="301" customWidth="1"/>
    <col min="11" max="11" width="15.5703125" style="301" customWidth="1"/>
    <col min="12" max="12" width="16.5703125" style="301" customWidth="1"/>
    <col min="13" max="13" width="15" style="743" hidden="1" customWidth="1"/>
    <col min="14" max="14" width="19.5703125" style="302" hidden="1" customWidth="1"/>
    <col min="15" max="15" width="22.7109375" style="824" hidden="1" customWidth="1"/>
    <col min="16" max="16" width="24" style="302" hidden="1" customWidth="1"/>
    <col min="17" max="18" width="0" style="302" hidden="1" customWidth="1"/>
    <col min="19" max="19" width="14.7109375" style="302" hidden="1" customWidth="1"/>
    <col min="20" max="23" width="13.7109375" style="302" hidden="1" customWidth="1"/>
    <col min="24" max="24" width="9.5703125" style="302" bestFit="1" customWidth="1"/>
    <col min="25" max="25" width="11.7109375" style="302" bestFit="1" customWidth="1"/>
    <col min="26" max="26" width="12.140625" style="302" customWidth="1"/>
    <col min="27" max="27" width="9.140625" style="302"/>
    <col min="28" max="28" width="9.5703125" style="302" bestFit="1" customWidth="1"/>
    <col min="29" max="16384" width="9.140625" style="302"/>
  </cols>
  <sheetData>
    <row r="1" spans="1:49" x14ac:dyDescent="0.25">
      <c r="C1" s="735"/>
    </row>
    <row r="2" spans="1:49" ht="25.5" x14ac:dyDescent="0.25">
      <c r="A2" s="1230" t="s">
        <v>1064</v>
      </c>
      <c r="B2" s="1170"/>
      <c r="C2" s="1170"/>
      <c r="D2" s="1170"/>
      <c r="E2" s="761"/>
      <c r="M2" s="257">
        <v>1</v>
      </c>
    </row>
    <row r="3" spans="1:49" ht="24.75" customHeight="1" x14ac:dyDescent="0.25">
      <c r="A3" s="736"/>
      <c r="B3" s="736"/>
      <c r="C3" s="736"/>
      <c r="D3" s="737"/>
      <c r="E3" s="737"/>
      <c r="H3" s="737" t="s">
        <v>737</v>
      </c>
      <c r="I3" s="737"/>
      <c r="J3" s="737"/>
      <c r="K3" s="737"/>
      <c r="L3" s="737"/>
      <c r="M3" s="257">
        <v>1</v>
      </c>
    </row>
    <row r="4" spans="1:49" s="738" customFormat="1" ht="138.6" customHeight="1" x14ac:dyDescent="0.25">
      <c r="A4" s="730" t="s">
        <v>1065</v>
      </c>
      <c r="B4" s="730" t="s">
        <v>901</v>
      </c>
      <c r="C4" s="730" t="s">
        <v>1066</v>
      </c>
      <c r="D4" s="866" t="s">
        <v>739</v>
      </c>
      <c r="E4" s="1222"/>
      <c r="F4" s="1223"/>
      <c r="G4" s="1223"/>
      <c r="H4" s="1223" t="s">
        <v>1067</v>
      </c>
      <c r="I4" s="1223"/>
      <c r="J4" s="1223"/>
      <c r="K4" s="1223"/>
      <c r="L4" s="1224"/>
      <c r="M4" s="744">
        <v>1</v>
      </c>
      <c r="N4" s="450"/>
      <c r="O4" s="853"/>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row>
    <row r="5" spans="1:49" s="738" customFormat="1" ht="30.75" customHeight="1" x14ac:dyDescent="0.25">
      <c r="A5" s="1086"/>
      <c r="B5" s="1087"/>
      <c r="C5" s="1086" t="s">
        <v>1068</v>
      </c>
      <c r="D5" s="1087"/>
      <c r="E5" s="1225"/>
      <c r="F5" s="1226"/>
      <c r="G5" s="1226"/>
      <c r="H5" s="1226"/>
      <c r="I5" s="1226"/>
      <c r="J5" s="1226"/>
      <c r="K5" s="1226"/>
      <c r="L5" s="1227"/>
      <c r="M5" s="744">
        <v>1</v>
      </c>
      <c r="N5" s="450"/>
      <c r="O5" s="853"/>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row>
    <row r="6" spans="1:49" s="738" customFormat="1" ht="93.75" x14ac:dyDescent="0.25">
      <c r="A6" s="789">
        <v>3719130</v>
      </c>
      <c r="B6" s="790" t="s">
        <v>280</v>
      </c>
      <c r="C6" s="774" t="s">
        <v>568</v>
      </c>
      <c r="D6" s="1088">
        <f>SUM(D7:D72)</f>
        <v>112489600</v>
      </c>
      <c r="E6" s="1181"/>
      <c r="F6" s="1228"/>
      <c r="G6" s="1229"/>
      <c r="H6" s="1229"/>
      <c r="I6" s="1228"/>
      <c r="J6" s="1228"/>
      <c r="K6" s="1228"/>
      <c r="L6" s="1182"/>
      <c r="M6" s="750">
        <f>SUM(D6:H6)</f>
        <v>112489600</v>
      </c>
      <c r="N6" s="450"/>
      <c r="O6" s="860" t="b">
        <f>D6=дод3!E301</f>
        <v>1</v>
      </c>
      <c r="P6" s="861"/>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row>
    <row r="7" spans="1:49" s="450" customFormat="1" ht="17.25" customHeight="1" x14ac:dyDescent="0.25">
      <c r="A7" s="751" t="s">
        <v>526</v>
      </c>
      <c r="B7" s="751"/>
      <c r="C7" s="745" t="s">
        <v>1060</v>
      </c>
      <c r="D7" s="914">
        <v>836600</v>
      </c>
      <c r="E7" s="875"/>
      <c r="F7" s="876"/>
      <c r="G7" s="876"/>
      <c r="H7" s="876"/>
      <c r="I7" s="876"/>
      <c r="J7" s="876"/>
      <c r="K7" s="876"/>
      <c r="L7" s="877"/>
      <c r="M7" s="750">
        <f t="shared" ref="M7:M70" si="0">SUM(D7:H7)</f>
        <v>836600</v>
      </c>
      <c r="O7" s="853"/>
    </row>
    <row r="8" spans="1:49" s="450" customFormat="1" ht="17.25" customHeight="1" x14ac:dyDescent="0.25">
      <c r="A8" s="751" t="s">
        <v>527</v>
      </c>
      <c r="B8" s="751"/>
      <c r="C8" s="745" t="s">
        <v>1069</v>
      </c>
      <c r="D8" s="914">
        <v>942400</v>
      </c>
      <c r="E8" s="875"/>
      <c r="F8" s="876"/>
      <c r="G8" s="876"/>
      <c r="H8" s="876"/>
      <c r="I8" s="876"/>
      <c r="J8" s="876"/>
      <c r="K8" s="876"/>
      <c r="L8" s="877"/>
      <c r="M8" s="750">
        <f t="shared" si="0"/>
        <v>942400</v>
      </c>
      <c r="O8" s="853"/>
    </row>
    <row r="9" spans="1:49" s="450" customFormat="1" ht="17.25" customHeight="1" x14ac:dyDescent="0.25">
      <c r="A9" s="751" t="s">
        <v>528</v>
      </c>
      <c r="B9" s="751"/>
      <c r="C9" s="745" t="s">
        <v>1070</v>
      </c>
      <c r="D9" s="914">
        <v>1085200</v>
      </c>
      <c r="E9" s="875"/>
      <c r="F9" s="876"/>
      <c r="G9" s="876"/>
      <c r="H9" s="876"/>
      <c r="I9" s="876"/>
      <c r="J9" s="876"/>
      <c r="K9" s="876"/>
      <c r="L9" s="877"/>
      <c r="M9" s="750">
        <f t="shared" si="0"/>
        <v>1085200</v>
      </c>
      <c r="O9" s="853"/>
    </row>
    <row r="10" spans="1:49" s="450" customFormat="1" ht="17.25" customHeight="1" x14ac:dyDescent="0.25">
      <c r="A10" s="751" t="s">
        <v>529</v>
      </c>
      <c r="B10" s="751"/>
      <c r="C10" s="745" t="s">
        <v>1071</v>
      </c>
      <c r="D10" s="914">
        <v>881000</v>
      </c>
      <c r="E10" s="875"/>
      <c r="F10" s="876"/>
      <c r="G10" s="876"/>
      <c r="H10" s="876"/>
      <c r="I10" s="876"/>
      <c r="J10" s="876"/>
      <c r="K10" s="876"/>
      <c r="L10" s="877"/>
      <c r="M10" s="750">
        <f t="shared" si="0"/>
        <v>881000</v>
      </c>
      <c r="O10" s="853"/>
    </row>
    <row r="11" spans="1:49" s="746" customFormat="1" ht="17.25" customHeight="1" x14ac:dyDescent="0.35">
      <c r="A11" s="751" t="s">
        <v>530</v>
      </c>
      <c r="B11" s="751"/>
      <c r="C11" s="745" t="s">
        <v>1072</v>
      </c>
      <c r="D11" s="914">
        <v>1195900</v>
      </c>
      <c r="E11" s="875"/>
      <c r="F11" s="876"/>
      <c r="G11" s="876"/>
      <c r="H11" s="876"/>
      <c r="I11" s="876"/>
      <c r="J11" s="876"/>
      <c r="K11" s="876"/>
      <c r="L11" s="877"/>
      <c r="M11" s="750">
        <f t="shared" si="0"/>
        <v>1195900</v>
      </c>
      <c r="O11" s="854"/>
    </row>
    <row r="12" spans="1:49" s="450" customFormat="1" ht="17.25" customHeight="1" x14ac:dyDescent="0.25">
      <c r="A12" s="751" t="s">
        <v>531</v>
      </c>
      <c r="B12" s="751"/>
      <c r="C12" s="745" t="s">
        <v>1073</v>
      </c>
      <c r="D12" s="914">
        <v>1360000</v>
      </c>
      <c r="E12" s="875"/>
      <c r="F12" s="876"/>
      <c r="G12" s="876"/>
      <c r="H12" s="876"/>
      <c r="I12" s="876"/>
      <c r="J12" s="876"/>
      <c r="K12" s="876"/>
      <c r="L12" s="877"/>
      <c r="M12" s="750">
        <f t="shared" si="0"/>
        <v>1360000</v>
      </c>
      <c r="O12" s="853"/>
    </row>
    <row r="13" spans="1:49" s="450" customFormat="1" ht="17.25" customHeight="1" x14ac:dyDescent="0.25">
      <c r="A13" s="751" t="s">
        <v>532</v>
      </c>
      <c r="B13" s="751"/>
      <c r="C13" s="745" t="s">
        <v>1074</v>
      </c>
      <c r="D13" s="914">
        <v>1034000</v>
      </c>
      <c r="E13" s="875"/>
      <c r="F13" s="876"/>
      <c r="G13" s="876"/>
      <c r="H13" s="876"/>
      <c r="I13" s="876"/>
      <c r="J13" s="876"/>
      <c r="K13" s="876"/>
      <c r="L13" s="877"/>
      <c r="M13" s="750">
        <f t="shared" si="0"/>
        <v>1034000</v>
      </c>
      <c r="O13" s="853"/>
    </row>
    <row r="14" spans="1:49" s="450" customFormat="1" ht="17.25" customHeight="1" x14ac:dyDescent="0.25">
      <c r="A14" s="751" t="s">
        <v>533</v>
      </c>
      <c r="B14" s="751"/>
      <c r="C14" s="745" t="s">
        <v>1075</v>
      </c>
      <c r="D14" s="914">
        <v>1165800</v>
      </c>
      <c r="E14" s="875"/>
      <c r="F14" s="876"/>
      <c r="G14" s="876"/>
      <c r="H14" s="876"/>
      <c r="I14" s="876"/>
      <c r="J14" s="876"/>
      <c r="K14" s="876"/>
      <c r="L14" s="877"/>
      <c r="M14" s="750">
        <f t="shared" si="0"/>
        <v>1165800</v>
      </c>
      <c r="O14" s="853"/>
    </row>
    <row r="15" spans="1:49" s="450" customFormat="1" ht="17.25" customHeight="1" x14ac:dyDescent="0.25">
      <c r="A15" s="751" t="s">
        <v>534</v>
      </c>
      <c r="B15" s="751"/>
      <c r="C15" s="745" t="s">
        <v>1076</v>
      </c>
      <c r="D15" s="914">
        <v>1180300</v>
      </c>
      <c r="E15" s="875"/>
      <c r="F15" s="876"/>
      <c r="G15" s="876"/>
      <c r="H15" s="876"/>
      <c r="I15" s="876"/>
      <c r="J15" s="876"/>
      <c r="K15" s="876"/>
      <c r="L15" s="877"/>
      <c r="M15" s="750">
        <f t="shared" si="0"/>
        <v>1180300</v>
      </c>
      <c r="O15" s="853"/>
    </row>
    <row r="16" spans="1:49" s="450" customFormat="1" ht="17.25" customHeight="1" x14ac:dyDescent="0.25">
      <c r="A16" s="751" t="s">
        <v>535</v>
      </c>
      <c r="B16" s="751"/>
      <c r="C16" s="745" t="s">
        <v>1077</v>
      </c>
      <c r="D16" s="914">
        <v>1203000</v>
      </c>
      <c r="E16" s="875"/>
      <c r="F16" s="876"/>
      <c r="G16" s="876"/>
      <c r="H16" s="876"/>
      <c r="I16" s="876"/>
      <c r="J16" s="876"/>
      <c r="K16" s="876"/>
      <c r="L16" s="877"/>
      <c r="M16" s="750">
        <f t="shared" si="0"/>
        <v>1203000</v>
      </c>
      <c r="O16" s="853"/>
    </row>
    <row r="17" spans="1:15" s="450" customFormat="1" ht="17.25" customHeight="1" x14ac:dyDescent="0.25">
      <c r="A17" s="751" t="s">
        <v>536</v>
      </c>
      <c r="B17" s="751"/>
      <c r="C17" s="745" t="s">
        <v>1078</v>
      </c>
      <c r="D17" s="914">
        <v>2255300</v>
      </c>
      <c r="E17" s="875"/>
      <c r="F17" s="876"/>
      <c r="G17" s="876"/>
      <c r="H17" s="876"/>
      <c r="I17" s="876"/>
      <c r="J17" s="876"/>
      <c r="K17" s="876"/>
      <c r="L17" s="877"/>
      <c r="M17" s="750">
        <f t="shared" si="0"/>
        <v>2255300</v>
      </c>
      <c r="O17" s="853"/>
    </row>
    <row r="18" spans="1:15" s="450" customFormat="1" ht="17.25" customHeight="1" x14ac:dyDescent="0.25">
      <c r="A18" s="751" t="s">
        <v>537</v>
      </c>
      <c r="B18" s="751"/>
      <c r="C18" s="745" t="s">
        <v>1079</v>
      </c>
      <c r="D18" s="914">
        <v>2662400</v>
      </c>
      <c r="E18" s="875"/>
      <c r="F18" s="876"/>
      <c r="G18" s="876"/>
      <c r="H18" s="876"/>
      <c r="I18" s="876"/>
      <c r="J18" s="876"/>
      <c r="K18" s="876"/>
      <c r="L18" s="877"/>
      <c r="M18" s="750">
        <f t="shared" si="0"/>
        <v>2662400</v>
      </c>
      <c r="O18" s="853"/>
    </row>
    <row r="19" spans="1:15" s="450" customFormat="1" ht="17.25" customHeight="1" x14ac:dyDescent="0.25">
      <c r="A19" s="751" t="s">
        <v>538</v>
      </c>
      <c r="B19" s="751"/>
      <c r="C19" s="745" t="s">
        <v>1080</v>
      </c>
      <c r="D19" s="914">
        <v>3170300</v>
      </c>
      <c r="E19" s="875"/>
      <c r="F19" s="876"/>
      <c r="G19" s="876"/>
      <c r="H19" s="876"/>
      <c r="I19" s="876"/>
      <c r="J19" s="876"/>
      <c r="K19" s="876"/>
      <c r="L19" s="877"/>
      <c r="M19" s="750">
        <f t="shared" si="0"/>
        <v>3170300</v>
      </c>
      <c r="O19" s="853"/>
    </row>
    <row r="20" spans="1:15" s="450" customFormat="1" ht="17.25" customHeight="1" x14ac:dyDescent="0.25">
      <c r="A20" s="751" t="s">
        <v>539</v>
      </c>
      <c r="B20" s="751"/>
      <c r="C20" s="745" t="s">
        <v>1081</v>
      </c>
      <c r="D20" s="914">
        <v>1537700</v>
      </c>
      <c r="E20" s="875"/>
      <c r="F20" s="876"/>
      <c r="G20" s="876"/>
      <c r="H20" s="876"/>
      <c r="I20" s="876"/>
      <c r="J20" s="876"/>
      <c r="K20" s="876"/>
      <c r="L20" s="877"/>
      <c r="M20" s="750">
        <f t="shared" si="0"/>
        <v>1537700</v>
      </c>
      <c r="O20" s="853"/>
    </row>
    <row r="21" spans="1:15" s="450" customFormat="1" ht="17.25" customHeight="1" x14ac:dyDescent="0.25">
      <c r="A21" s="751" t="s">
        <v>540</v>
      </c>
      <c r="B21" s="751"/>
      <c r="C21" s="745" t="s">
        <v>1082</v>
      </c>
      <c r="D21" s="914">
        <v>1364400</v>
      </c>
      <c r="E21" s="875"/>
      <c r="F21" s="876"/>
      <c r="G21" s="876"/>
      <c r="H21" s="876"/>
      <c r="I21" s="876"/>
      <c r="J21" s="876"/>
      <c r="K21" s="876"/>
      <c r="L21" s="877"/>
      <c r="M21" s="750">
        <f t="shared" si="0"/>
        <v>1364400</v>
      </c>
      <c r="O21" s="853"/>
    </row>
    <row r="22" spans="1:15" s="450" customFormat="1" ht="17.25" customHeight="1" x14ac:dyDescent="0.25">
      <c r="A22" s="751" t="s">
        <v>541</v>
      </c>
      <c r="B22" s="751"/>
      <c r="C22" s="745" t="s">
        <v>1083</v>
      </c>
      <c r="D22" s="914">
        <v>1329600</v>
      </c>
      <c r="E22" s="875"/>
      <c r="F22" s="876"/>
      <c r="G22" s="876"/>
      <c r="H22" s="876"/>
      <c r="I22" s="876"/>
      <c r="J22" s="876"/>
      <c r="K22" s="876"/>
      <c r="L22" s="877"/>
      <c r="M22" s="750">
        <f t="shared" si="0"/>
        <v>1329600</v>
      </c>
      <c r="O22" s="853"/>
    </row>
    <row r="23" spans="1:15" s="450" customFormat="1" ht="17.25" customHeight="1" x14ac:dyDescent="0.25">
      <c r="A23" s="751" t="s">
        <v>542</v>
      </c>
      <c r="B23" s="751"/>
      <c r="C23" s="745" t="s">
        <v>1084</v>
      </c>
      <c r="D23" s="914">
        <v>1724600</v>
      </c>
      <c r="E23" s="875"/>
      <c r="F23" s="876"/>
      <c r="G23" s="876"/>
      <c r="H23" s="876"/>
      <c r="I23" s="876"/>
      <c r="J23" s="876"/>
      <c r="K23" s="876"/>
      <c r="L23" s="877"/>
      <c r="M23" s="750">
        <f t="shared" si="0"/>
        <v>1724600</v>
      </c>
      <c r="O23" s="853"/>
    </row>
    <row r="24" spans="1:15" s="746" customFormat="1" ht="17.25" customHeight="1" x14ac:dyDescent="0.35">
      <c r="A24" s="751" t="s">
        <v>543</v>
      </c>
      <c r="B24" s="751"/>
      <c r="C24" s="745" t="s">
        <v>1085</v>
      </c>
      <c r="D24" s="914">
        <v>988400</v>
      </c>
      <c r="E24" s="875"/>
      <c r="F24" s="876"/>
      <c r="G24" s="876"/>
      <c r="H24" s="876"/>
      <c r="I24" s="876"/>
      <c r="J24" s="876"/>
      <c r="K24" s="876"/>
      <c r="L24" s="877"/>
      <c r="M24" s="750">
        <f t="shared" si="0"/>
        <v>988400</v>
      </c>
      <c r="O24" s="854"/>
    </row>
    <row r="25" spans="1:15" s="746" customFormat="1" ht="17.25" customHeight="1" x14ac:dyDescent="0.35">
      <c r="A25" s="751" t="s">
        <v>544</v>
      </c>
      <c r="B25" s="751"/>
      <c r="C25" s="745" t="s">
        <v>1086</v>
      </c>
      <c r="D25" s="914">
        <v>1470300</v>
      </c>
      <c r="E25" s="875"/>
      <c r="F25" s="876"/>
      <c r="G25" s="876"/>
      <c r="H25" s="876"/>
      <c r="I25" s="876"/>
      <c r="J25" s="876"/>
      <c r="K25" s="876"/>
      <c r="L25" s="877"/>
      <c r="M25" s="750">
        <f t="shared" si="0"/>
        <v>1470300</v>
      </c>
      <c r="O25" s="854"/>
    </row>
    <row r="26" spans="1:15" s="450" customFormat="1" ht="17.25" customHeight="1" x14ac:dyDescent="0.25">
      <c r="A26" s="751" t="s">
        <v>545</v>
      </c>
      <c r="B26" s="751"/>
      <c r="C26" s="745" t="s">
        <v>1087</v>
      </c>
      <c r="D26" s="914">
        <v>1849600</v>
      </c>
      <c r="E26" s="875"/>
      <c r="F26" s="876"/>
      <c r="G26" s="876"/>
      <c r="H26" s="876"/>
      <c r="I26" s="876"/>
      <c r="J26" s="876"/>
      <c r="K26" s="876"/>
      <c r="L26" s="877"/>
      <c r="M26" s="750">
        <f t="shared" si="0"/>
        <v>1849600</v>
      </c>
      <c r="O26" s="853"/>
    </row>
    <row r="27" spans="1:15" s="747" customFormat="1" ht="17.25" customHeight="1" x14ac:dyDescent="0.3">
      <c r="A27" s="751" t="s">
        <v>546</v>
      </c>
      <c r="B27" s="751"/>
      <c r="C27" s="745" t="s">
        <v>1088</v>
      </c>
      <c r="D27" s="914">
        <v>1184900</v>
      </c>
      <c r="E27" s="875"/>
      <c r="F27" s="876"/>
      <c r="G27" s="876"/>
      <c r="H27" s="876"/>
      <c r="I27" s="876"/>
      <c r="J27" s="876"/>
      <c r="K27" s="876"/>
      <c r="L27" s="877"/>
      <c r="M27" s="750">
        <f t="shared" si="0"/>
        <v>1184900</v>
      </c>
      <c r="O27" s="855"/>
    </row>
    <row r="28" spans="1:15" s="450" customFormat="1" ht="17.25" customHeight="1" x14ac:dyDescent="0.25">
      <c r="A28" s="751" t="s">
        <v>547</v>
      </c>
      <c r="B28" s="751"/>
      <c r="C28" s="745" t="s">
        <v>1089</v>
      </c>
      <c r="D28" s="914">
        <v>591300</v>
      </c>
      <c r="E28" s="875"/>
      <c r="F28" s="876"/>
      <c r="G28" s="876"/>
      <c r="H28" s="876"/>
      <c r="I28" s="876"/>
      <c r="J28" s="876"/>
      <c r="K28" s="876"/>
      <c r="L28" s="877"/>
      <c r="M28" s="750">
        <f t="shared" si="0"/>
        <v>591300</v>
      </c>
      <c r="O28" s="853"/>
    </row>
    <row r="29" spans="1:15" s="450" customFormat="1" ht="17.25" customHeight="1" x14ac:dyDescent="0.25">
      <c r="A29" s="751" t="s">
        <v>548</v>
      </c>
      <c r="B29" s="751"/>
      <c r="C29" s="745" t="s">
        <v>1090</v>
      </c>
      <c r="D29" s="914">
        <v>1303800</v>
      </c>
      <c r="E29" s="875"/>
      <c r="F29" s="876"/>
      <c r="G29" s="876"/>
      <c r="H29" s="876"/>
      <c r="I29" s="876"/>
      <c r="J29" s="876"/>
      <c r="K29" s="876"/>
      <c r="L29" s="877"/>
      <c r="M29" s="750">
        <f t="shared" si="0"/>
        <v>1303800</v>
      </c>
      <c r="O29" s="853"/>
    </row>
    <row r="30" spans="1:15" s="450" customFormat="1" ht="17.25" customHeight="1" x14ac:dyDescent="0.25">
      <c r="A30" s="751" t="s">
        <v>549</v>
      </c>
      <c r="B30" s="751"/>
      <c r="C30" s="745" t="s">
        <v>1091</v>
      </c>
      <c r="D30" s="914">
        <v>1181500</v>
      </c>
      <c r="E30" s="875"/>
      <c r="F30" s="876"/>
      <c r="G30" s="876"/>
      <c r="H30" s="876"/>
      <c r="I30" s="876"/>
      <c r="J30" s="876"/>
      <c r="K30" s="876"/>
      <c r="L30" s="877"/>
      <c r="M30" s="750">
        <f t="shared" si="0"/>
        <v>1181500</v>
      </c>
      <c r="O30" s="853"/>
    </row>
    <row r="31" spans="1:15" s="450" customFormat="1" ht="17.25" customHeight="1" x14ac:dyDescent="0.25">
      <c r="A31" s="751" t="s">
        <v>550</v>
      </c>
      <c r="B31" s="751"/>
      <c r="C31" s="745" t="s">
        <v>1092</v>
      </c>
      <c r="D31" s="914">
        <v>761100</v>
      </c>
      <c r="E31" s="875"/>
      <c r="F31" s="876"/>
      <c r="G31" s="876"/>
      <c r="H31" s="876"/>
      <c r="I31" s="876"/>
      <c r="J31" s="876"/>
      <c r="K31" s="876"/>
      <c r="L31" s="877"/>
      <c r="M31" s="750">
        <f t="shared" si="0"/>
        <v>761100</v>
      </c>
      <c r="O31" s="853"/>
    </row>
    <row r="32" spans="1:15" s="450" customFormat="1" ht="17.25" customHeight="1" x14ac:dyDescent="0.25">
      <c r="A32" s="751" t="s">
        <v>551</v>
      </c>
      <c r="B32" s="751"/>
      <c r="C32" s="745" t="s">
        <v>1093</v>
      </c>
      <c r="D32" s="914">
        <v>334700</v>
      </c>
      <c r="E32" s="875"/>
      <c r="F32" s="876"/>
      <c r="G32" s="876"/>
      <c r="H32" s="876"/>
      <c r="I32" s="876"/>
      <c r="J32" s="876"/>
      <c r="K32" s="876"/>
      <c r="L32" s="877"/>
      <c r="M32" s="750">
        <f t="shared" si="0"/>
        <v>334700</v>
      </c>
      <c r="O32" s="853"/>
    </row>
    <row r="33" spans="1:15" s="746" customFormat="1" ht="17.25" customHeight="1" x14ac:dyDescent="0.35">
      <c r="A33" s="751" t="s">
        <v>552</v>
      </c>
      <c r="B33" s="751"/>
      <c r="C33" s="745" t="s">
        <v>1094</v>
      </c>
      <c r="D33" s="914">
        <v>1103000</v>
      </c>
      <c r="E33" s="875"/>
      <c r="F33" s="876"/>
      <c r="G33" s="876"/>
      <c r="H33" s="876"/>
      <c r="I33" s="876"/>
      <c r="J33" s="876"/>
      <c r="K33" s="876"/>
      <c r="L33" s="877"/>
      <c r="M33" s="750">
        <f t="shared" si="0"/>
        <v>1103000</v>
      </c>
      <c r="O33" s="854"/>
    </row>
    <row r="34" spans="1:15" s="450" customFormat="1" ht="17.25" customHeight="1" x14ac:dyDescent="0.25">
      <c r="A34" s="751" t="s">
        <v>553</v>
      </c>
      <c r="B34" s="751"/>
      <c r="C34" s="745" t="s">
        <v>1095</v>
      </c>
      <c r="D34" s="914">
        <v>729500</v>
      </c>
      <c r="E34" s="875"/>
      <c r="F34" s="876"/>
      <c r="G34" s="876"/>
      <c r="H34" s="876"/>
      <c r="I34" s="876"/>
      <c r="J34" s="876"/>
      <c r="K34" s="876"/>
      <c r="L34" s="877"/>
      <c r="M34" s="750">
        <f t="shared" si="0"/>
        <v>729500</v>
      </c>
      <c r="O34" s="853"/>
    </row>
    <row r="35" spans="1:15" s="450" customFormat="1" ht="17.25" customHeight="1" x14ac:dyDescent="0.25">
      <c r="A35" s="751" t="s">
        <v>554</v>
      </c>
      <c r="B35" s="751"/>
      <c r="C35" s="745" t="s">
        <v>1096</v>
      </c>
      <c r="D35" s="914">
        <v>1125800</v>
      </c>
      <c r="E35" s="875"/>
      <c r="F35" s="876"/>
      <c r="G35" s="876"/>
      <c r="H35" s="876"/>
      <c r="I35" s="876"/>
      <c r="J35" s="876"/>
      <c r="K35" s="876"/>
      <c r="L35" s="877"/>
      <c r="M35" s="750">
        <f t="shared" si="0"/>
        <v>1125800</v>
      </c>
      <c r="O35" s="853"/>
    </row>
    <row r="36" spans="1:15" s="450" customFormat="1" ht="17.25" customHeight="1" x14ac:dyDescent="0.25">
      <c r="A36" s="751" t="s">
        <v>555</v>
      </c>
      <c r="B36" s="751"/>
      <c r="C36" s="745" t="s">
        <v>1097</v>
      </c>
      <c r="D36" s="914">
        <v>573700</v>
      </c>
      <c r="E36" s="875"/>
      <c r="F36" s="876"/>
      <c r="G36" s="876"/>
      <c r="H36" s="876"/>
      <c r="I36" s="876"/>
      <c r="J36" s="876"/>
      <c r="K36" s="876"/>
      <c r="L36" s="877"/>
      <c r="M36" s="750">
        <f t="shared" si="0"/>
        <v>573700</v>
      </c>
      <c r="O36" s="853"/>
    </row>
    <row r="37" spans="1:15" s="450" customFormat="1" ht="17.25" customHeight="1" x14ac:dyDescent="0.25">
      <c r="A37" s="751" t="s">
        <v>556</v>
      </c>
      <c r="B37" s="751"/>
      <c r="C37" s="745" t="s">
        <v>1098</v>
      </c>
      <c r="D37" s="914">
        <v>613800</v>
      </c>
      <c r="E37" s="875"/>
      <c r="F37" s="876"/>
      <c r="G37" s="876"/>
      <c r="H37" s="876"/>
      <c r="I37" s="876"/>
      <c r="J37" s="876"/>
      <c r="K37" s="876"/>
      <c r="L37" s="877"/>
      <c r="M37" s="750">
        <f t="shared" si="0"/>
        <v>613800</v>
      </c>
      <c r="O37" s="853"/>
    </row>
    <row r="38" spans="1:15" s="450" customFormat="1" ht="17.25" customHeight="1" x14ac:dyDescent="0.25">
      <c r="A38" s="751" t="s">
        <v>557</v>
      </c>
      <c r="B38" s="751"/>
      <c r="C38" s="745" t="s">
        <v>1099</v>
      </c>
      <c r="D38" s="914">
        <v>2029400</v>
      </c>
      <c r="E38" s="875"/>
      <c r="F38" s="876"/>
      <c r="G38" s="876"/>
      <c r="H38" s="876"/>
      <c r="I38" s="876"/>
      <c r="J38" s="876"/>
      <c r="K38" s="876"/>
      <c r="L38" s="877"/>
      <c r="M38" s="750">
        <f t="shared" si="0"/>
        <v>2029400</v>
      </c>
      <c r="O38" s="853"/>
    </row>
    <row r="39" spans="1:15" s="450" customFormat="1" ht="17.25" customHeight="1" x14ac:dyDescent="0.25">
      <c r="A39" s="751" t="s">
        <v>558</v>
      </c>
      <c r="B39" s="751"/>
      <c r="C39" s="745" t="s">
        <v>1100</v>
      </c>
      <c r="D39" s="914">
        <v>2008100</v>
      </c>
      <c r="E39" s="875"/>
      <c r="F39" s="876"/>
      <c r="G39" s="876"/>
      <c r="H39" s="876"/>
      <c r="I39" s="876"/>
      <c r="J39" s="876"/>
      <c r="K39" s="876"/>
      <c r="L39" s="877"/>
      <c r="M39" s="750">
        <f t="shared" si="0"/>
        <v>2008100</v>
      </c>
      <c r="O39" s="853"/>
    </row>
    <row r="40" spans="1:15" s="450" customFormat="1" ht="17.25" customHeight="1" x14ac:dyDescent="0.25">
      <c r="A40" s="751" t="s">
        <v>559</v>
      </c>
      <c r="B40" s="751"/>
      <c r="C40" s="745" t="s">
        <v>1101</v>
      </c>
      <c r="D40" s="914">
        <v>1289600</v>
      </c>
      <c r="E40" s="875"/>
      <c r="F40" s="876"/>
      <c r="G40" s="876"/>
      <c r="H40" s="876"/>
      <c r="I40" s="876"/>
      <c r="J40" s="876"/>
      <c r="K40" s="876"/>
      <c r="L40" s="877"/>
      <c r="M40" s="750">
        <f t="shared" si="0"/>
        <v>1289600</v>
      </c>
      <c r="O40" s="853"/>
    </row>
    <row r="41" spans="1:15" s="450" customFormat="1" ht="17.25" customHeight="1" x14ac:dyDescent="0.25">
      <c r="A41" s="751" t="s">
        <v>560</v>
      </c>
      <c r="B41" s="751"/>
      <c r="C41" s="745" t="s">
        <v>1102</v>
      </c>
      <c r="D41" s="914">
        <v>1072500</v>
      </c>
      <c r="E41" s="875"/>
      <c r="F41" s="876"/>
      <c r="G41" s="876"/>
      <c r="H41" s="876"/>
      <c r="I41" s="876"/>
      <c r="J41" s="876"/>
      <c r="K41" s="876"/>
      <c r="L41" s="877"/>
      <c r="M41" s="750">
        <f t="shared" si="0"/>
        <v>1072500</v>
      </c>
      <c r="O41" s="853"/>
    </row>
    <row r="42" spans="1:15" s="450" customFormat="1" ht="17.25" customHeight="1" x14ac:dyDescent="0.25">
      <c r="A42" s="751" t="s">
        <v>561</v>
      </c>
      <c r="B42" s="751"/>
      <c r="C42" s="745" t="s">
        <v>1103</v>
      </c>
      <c r="D42" s="914">
        <v>1374500</v>
      </c>
      <c r="E42" s="875"/>
      <c r="F42" s="876"/>
      <c r="G42" s="876"/>
      <c r="H42" s="876"/>
      <c r="I42" s="876"/>
      <c r="J42" s="876"/>
      <c r="K42" s="876"/>
      <c r="L42" s="877"/>
      <c r="M42" s="750">
        <f t="shared" si="0"/>
        <v>1374500</v>
      </c>
      <c r="O42" s="853"/>
    </row>
    <row r="43" spans="1:15" s="450" customFormat="1" ht="17.25" customHeight="1" x14ac:dyDescent="0.25">
      <c r="A43" s="751" t="s">
        <v>562</v>
      </c>
      <c r="B43" s="751"/>
      <c r="C43" s="745" t="s">
        <v>1104</v>
      </c>
      <c r="D43" s="914">
        <v>2642100</v>
      </c>
      <c r="E43" s="875"/>
      <c r="F43" s="876"/>
      <c r="G43" s="876"/>
      <c r="H43" s="876"/>
      <c r="I43" s="876"/>
      <c r="J43" s="876"/>
      <c r="K43" s="876"/>
      <c r="L43" s="877"/>
      <c r="M43" s="750">
        <f t="shared" si="0"/>
        <v>2642100</v>
      </c>
      <c r="O43" s="853"/>
    </row>
    <row r="44" spans="1:15" s="450" customFormat="1" ht="17.25" customHeight="1" x14ac:dyDescent="0.25">
      <c r="A44" s="751" t="s">
        <v>563</v>
      </c>
      <c r="B44" s="751"/>
      <c r="C44" s="745" t="s">
        <v>1105</v>
      </c>
      <c r="D44" s="914">
        <v>1399400</v>
      </c>
      <c r="E44" s="875"/>
      <c r="F44" s="876"/>
      <c r="G44" s="876"/>
      <c r="H44" s="876"/>
      <c r="I44" s="876"/>
      <c r="J44" s="876"/>
      <c r="K44" s="876"/>
      <c r="L44" s="877"/>
      <c r="M44" s="750">
        <f t="shared" si="0"/>
        <v>1399400</v>
      </c>
      <c r="O44" s="853"/>
    </row>
    <row r="45" spans="1:15" s="450" customFormat="1" ht="17.25" customHeight="1" x14ac:dyDescent="0.25">
      <c r="A45" s="751" t="s">
        <v>564</v>
      </c>
      <c r="B45" s="751"/>
      <c r="C45" s="745" t="s">
        <v>1106</v>
      </c>
      <c r="D45" s="914">
        <v>1575200</v>
      </c>
      <c r="E45" s="875"/>
      <c r="F45" s="876"/>
      <c r="G45" s="876"/>
      <c r="H45" s="876"/>
      <c r="I45" s="876"/>
      <c r="J45" s="876"/>
      <c r="K45" s="876"/>
      <c r="L45" s="877"/>
      <c r="M45" s="750">
        <f t="shared" si="0"/>
        <v>1575200</v>
      </c>
      <c r="O45" s="853"/>
    </row>
    <row r="46" spans="1:15" s="450" customFormat="1" ht="17.25" customHeight="1" x14ac:dyDescent="0.25">
      <c r="A46" s="751" t="s">
        <v>565</v>
      </c>
      <c r="B46" s="751"/>
      <c r="C46" s="745" t="s">
        <v>1107</v>
      </c>
      <c r="D46" s="914">
        <v>1992500</v>
      </c>
      <c r="E46" s="875"/>
      <c r="F46" s="876"/>
      <c r="G46" s="876"/>
      <c r="H46" s="876"/>
      <c r="I46" s="876"/>
      <c r="J46" s="876"/>
      <c r="K46" s="876"/>
      <c r="L46" s="877"/>
      <c r="M46" s="750">
        <f t="shared" si="0"/>
        <v>1992500</v>
      </c>
      <c r="O46" s="853"/>
    </row>
    <row r="47" spans="1:15" s="450" customFormat="1" ht="17.25" customHeight="1" x14ac:dyDescent="0.25">
      <c r="A47" s="751" t="s">
        <v>566</v>
      </c>
      <c r="B47" s="751"/>
      <c r="C47" s="745" t="s">
        <v>1108</v>
      </c>
      <c r="D47" s="914">
        <v>1383000</v>
      </c>
      <c r="E47" s="875"/>
      <c r="F47" s="876"/>
      <c r="G47" s="876"/>
      <c r="H47" s="876"/>
      <c r="I47" s="876"/>
      <c r="J47" s="876"/>
      <c r="K47" s="876"/>
      <c r="L47" s="877"/>
      <c r="M47" s="750">
        <f t="shared" si="0"/>
        <v>1383000</v>
      </c>
      <c r="O47" s="853"/>
    </row>
    <row r="48" spans="1:15" s="450" customFormat="1" ht="17.25" customHeight="1" x14ac:dyDescent="0.25">
      <c r="A48" s="751" t="s">
        <v>567</v>
      </c>
      <c r="B48" s="751"/>
      <c r="C48" s="745" t="s">
        <v>1109</v>
      </c>
      <c r="D48" s="914">
        <v>378900</v>
      </c>
      <c r="E48" s="875"/>
      <c r="F48" s="876"/>
      <c r="G48" s="876"/>
      <c r="H48" s="876"/>
      <c r="I48" s="876"/>
      <c r="J48" s="876"/>
      <c r="K48" s="876"/>
      <c r="L48" s="877"/>
      <c r="M48" s="750">
        <f t="shared" si="0"/>
        <v>378900</v>
      </c>
      <c r="O48" s="853"/>
    </row>
    <row r="49" spans="1:15" s="450" customFormat="1" ht="17.25" customHeight="1" x14ac:dyDescent="0.25">
      <c r="A49" s="751" t="s">
        <v>780</v>
      </c>
      <c r="B49" s="751"/>
      <c r="C49" s="745" t="s">
        <v>1110</v>
      </c>
      <c r="D49" s="914">
        <v>1032400</v>
      </c>
      <c r="E49" s="875"/>
      <c r="F49" s="876"/>
      <c r="G49" s="876"/>
      <c r="H49" s="876"/>
      <c r="I49" s="876"/>
      <c r="J49" s="876"/>
      <c r="K49" s="876"/>
      <c r="L49" s="877"/>
      <c r="M49" s="750">
        <f t="shared" si="0"/>
        <v>1032400</v>
      </c>
      <c r="O49" s="853"/>
    </row>
    <row r="50" spans="1:15" s="450" customFormat="1" ht="17.25" customHeight="1" x14ac:dyDescent="0.25">
      <c r="A50" s="751" t="s">
        <v>781</v>
      </c>
      <c r="B50" s="751"/>
      <c r="C50" s="745" t="s">
        <v>1111</v>
      </c>
      <c r="D50" s="914">
        <v>1036600</v>
      </c>
      <c r="E50" s="875"/>
      <c r="F50" s="876"/>
      <c r="G50" s="876"/>
      <c r="H50" s="876"/>
      <c r="I50" s="876"/>
      <c r="J50" s="876"/>
      <c r="K50" s="876"/>
      <c r="L50" s="877"/>
      <c r="M50" s="750">
        <f t="shared" si="0"/>
        <v>1036600</v>
      </c>
      <c r="O50" s="853"/>
    </row>
    <row r="51" spans="1:15" s="450" customFormat="1" ht="17.25" customHeight="1" x14ac:dyDescent="0.25">
      <c r="A51" s="751" t="s">
        <v>782</v>
      </c>
      <c r="B51" s="751"/>
      <c r="C51" s="745" t="s">
        <v>1112</v>
      </c>
      <c r="D51" s="914">
        <v>1384400</v>
      </c>
      <c r="E51" s="875"/>
      <c r="F51" s="876"/>
      <c r="G51" s="876"/>
      <c r="H51" s="876"/>
      <c r="I51" s="876"/>
      <c r="J51" s="876"/>
      <c r="K51" s="876"/>
      <c r="L51" s="877"/>
      <c r="M51" s="750">
        <f t="shared" si="0"/>
        <v>1384400</v>
      </c>
      <c r="O51" s="853"/>
    </row>
    <row r="52" spans="1:15" s="450" customFormat="1" ht="17.25" customHeight="1" x14ac:dyDescent="0.25">
      <c r="A52" s="751" t="s">
        <v>783</v>
      </c>
      <c r="B52" s="751"/>
      <c r="C52" s="745" t="s">
        <v>1113</v>
      </c>
      <c r="D52" s="914">
        <v>1173700</v>
      </c>
      <c r="E52" s="875"/>
      <c r="F52" s="876"/>
      <c r="G52" s="876"/>
      <c r="H52" s="876"/>
      <c r="I52" s="876"/>
      <c r="J52" s="876"/>
      <c r="K52" s="876"/>
      <c r="L52" s="877"/>
      <c r="M52" s="750">
        <f t="shared" si="0"/>
        <v>1173700</v>
      </c>
      <c r="O52" s="853"/>
    </row>
    <row r="53" spans="1:15" s="450" customFormat="1" ht="17.25" customHeight="1" x14ac:dyDescent="0.25">
      <c r="A53" s="751" t="s">
        <v>784</v>
      </c>
      <c r="B53" s="751"/>
      <c r="C53" s="745" t="s">
        <v>1114</v>
      </c>
      <c r="D53" s="914">
        <v>1681400</v>
      </c>
      <c r="E53" s="875"/>
      <c r="F53" s="876"/>
      <c r="G53" s="876"/>
      <c r="H53" s="876"/>
      <c r="I53" s="876"/>
      <c r="J53" s="876"/>
      <c r="K53" s="876"/>
      <c r="L53" s="877"/>
      <c r="M53" s="750">
        <f t="shared" si="0"/>
        <v>1681400</v>
      </c>
      <c r="O53" s="853"/>
    </row>
    <row r="54" spans="1:15" s="450" customFormat="1" ht="17.25" customHeight="1" x14ac:dyDescent="0.25">
      <c r="A54" s="751" t="s">
        <v>785</v>
      </c>
      <c r="B54" s="751"/>
      <c r="C54" s="745" t="s">
        <v>1115</v>
      </c>
      <c r="D54" s="914">
        <v>941100</v>
      </c>
      <c r="E54" s="875"/>
      <c r="F54" s="876"/>
      <c r="G54" s="876"/>
      <c r="H54" s="876"/>
      <c r="I54" s="876"/>
      <c r="J54" s="876"/>
      <c r="K54" s="876"/>
      <c r="L54" s="877"/>
      <c r="M54" s="750">
        <f t="shared" si="0"/>
        <v>941100</v>
      </c>
      <c r="O54" s="853"/>
    </row>
    <row r="55" spans="1:15" s="450" customFormat="1" ht="17.25" customHeight="1" x14ac:dyDescent="0.25">
      <c r="A55" s="751" t="s">
        <v>910</v>
      </c>
      <c r="B55" s="751"/>
      <c r="C55" s="745" t="s">
        <v>1116</v>
      </c>
      <c r="D55" s="914">
        <v>16574500</v>
      </c>
      <c r="E55" s="875"/>
      <c r="F55" s="876"/>
      <c r="G55" s="876"/>
      <c r="H55" s="876"/>
      <c r="I55" s="876"/>
      <c r="J55" s="876"/>
      <c r="K55" s="876"/>
      <c r="L55" s="877"/>
      <c r="M55" s="750">
        <f t="shared" si="0"/>
        <v>16574500</v>
      </c>
      <c r="O55" s="853"/>
    </row>
    <row r="56" spans="1:15" s="450" customFormat="1" ht="18.75" x14ac:dyDescent="0.25">
      <c r="A56" s="751" t="s">
        <v>911</v>
      </c>
      <c r="B56" s="751"/>
      <c r="C56" s="745" t="s">
        <v>1117</v>
      </c>
      <c r="D56" s="914">
        <v>4057400</v>
      </c>
      <c r="E56" s="875"/>
      <c r="F56" s="876"/>
      <c r="G56" s="876"/>
      <c r="H56" s="876"/>
      <c r="I56" s="876"/>
      <c r="J56" s="876"/>
      <c r="K56" s="876"/>
      <c r="L56" s="877"/>
      <c r="M56" s="750">
        <f t="shared" si="0"/>
        <v>4057400</v>
      </c>
      <c r="O56" s="853"/>
    </row>
    <row r="57" spans="1:15" s="450" customFormat="1" ht="17.25" customHeight="1" x14ac:dyDescent="0.25">
      <c r="A57" s="751" t="s">
        <v>1118</v>
      </c>
      <c r="B57" s="751"/>
      <c r="C57" s="745" t="s">
        <v>1119</v>
      </c>
      <c r="D57" s="914">
        <v>800700</v>
      </c>
      <c r="E57" s="875"/>
      <c r="F57" s="876"/>
      <c r="G57" s="876"/>
      <c r="H57" s="876"/>
      <c r="I57" s="876"/>
      <c r="J57" s="876"/>
      <c r="K57" s="876"/>
      <c r="L57" s="877"/>
      <c r="M57" s="750">
        <f t="shared" si="0"/>
        <v>800700</v>
      </c>
      <c r="O57" s="853"/>
    </row>
    <row r="58" spans="1:15" s="450" customFormat="1" ht="17.25" customHeight="1" x14ac:dyDescent="0.25">
      <c r="A58" s="751" t="s">
        <v>1120</v>
      </c>
      <c r="B58" s="751"/>
      <c r="C58" s="745" t="s">
        <v>1121</v>
      </c>
      <c r="D58" s="914">
        <v>683600</v>
      </c>
      <c r="E58" s="875"/>
      <c r="F58" s="876"/>
      <c r="G58" s="876"/>
      <c r="H58" s="876"/>
      <c r="I58" s="876"/>
      <c r="J58" s="876"/>
      <c r="K58" s="876"/>
      <c r="L58" s="877"/>
      <c r="M58" s="750">
        <f t="shared" si="0"/>
        <v>683600</v>
      </c>
      <c r="O58" s="853"/>
    </row>
    <row r="59" spans="1:15" s="450" customFormat="1" ht="17.25" customHeight="1" x14ac:dyDescent="0.25">
      <c r="A59" s="751" t="s">
        <v>1122</v>
      </c>
      <c r="B59" s="751"/>
      <c r="C59" s="745" t="s">
        <v>1123</v>
      </c>
      <c r="D59" s="914">
        <v>1110700</v>
      </c>
      <c r="E59" s="875"/>
      <c r="F59" s="876"/>
      <c r="G59" s="876"/>
      <c r="H59" s="876"/>
      <c r="I59" s="876"/>
      <c r="J59" s="876"/>
      <c r="K59" s="876"/>
      <c r="L59" s="877"/>
      <c r="M59" s="750">
        <f t="shared" si="0"/>
        <v>1110700</v>
      </c>
      <c r="O59" s="853"/>
    </row>
    <row r="60" spans="1:15" s="450" customFormat="1" ht="17.25" customHeight="1" x14ac:dyDescent="0.25">
      <c r="A60" s="751" t="s">
        <v>1124</v>
      </c>
      <c r="B60" s="751"/>
      <c r="C60" s="745" t="s">
        <v>1125</v>
      </c>
      <c r="D60" s="914">
        <v>1742400</v>
      </c>
      <c r="E60" s="875"/>
      <c r="F60" s="876"/>
      <c r="G60" s="876"/>
      <c r="H60" s="876"/>
      <c r="I60" s="876"/>
      <c r="J60" s="876"/>
      <c r="K60" s="876"/>
      <c r="L60" s="877"/>
      <c r="M60" s="750">
        <f t="shared" si="0"/>
        <v>1742400</v>
      </c>
      <c r="O60" s="853"/>
    </row>
    <row r="61" spans="1:15" s="450" customFormat="1" ht="17.25" customHeight="1" x14ac:dyDescent="0.25">
      <c r="A61" s="751" t="s">
        <v>1126</v>
      </c>
      <c r="B61" s="751"/>
      <c r="C61" s="745" t="s">
        <v>1127</v>
      </c>
      <c r="D61" s="914">
        <v>5052100</v>
      </c>
      <c r="E61" s="875"/>
      <c r="F61" s="876"/>
      <c r="G61" s="876"/>
      <c r="H61" s="876"/>
      <c r="I61" s="876"/>
      <c r="J61" s="876"/>
      <c r="K61" s="876"/>
      <c r="L61" s="877"/>
      <c r="M61" s="750">
        <f t="shared" si="0"/>
        <v>5052100</v>
      </c>
      <c r="O61" s="853"/>
    </row>
    <row r="62" spans="1:15" s="450" customFormat="1" ht="17.25" customHeight="1" x14ac:dyDescent="0.25">
      <c r="A62" s="751" t="s">
        <v>1128</v>
      </c>
      <c r="B62" s="751"/>
      <c r="C62" s="745" t="s">
        <v>1129</v>
      </c>
      <c r="D62" s="914">
        <v>1228100</v>
      </c>
      <c r="E62" s="875"/>
      <c r="F62" s="876"/>
      <c r="G62" s="876"/>
      <c r="H62" s="876"/>
      <c r="I62" s="876"/>
      <c r="J62" s="876"/>
      <c r="K62" s="876"/>
      <c r="L62" s="877"/>
      <c r="M62" s="750">
        <f t="shared" si="0"/>
        <v>1228100</v>
      </c>
      <c r="O62" s="853"/>
    </row>
    <row r="63" spans="1:15" s="450" customFormat="1" ht="17.25" customHeight="1" x14ac:dyDescent="0.25">
      <c r="A63" s="751" t="s">
        <v>1130</v>
      </c>
      <c r="B63" s="751"/>
      <c r="C63" s="745" t="s">
        <v>1131</v>
      </c>
      <c r="D63" s="914">
        <v>907900</v>
      </c>
      <c r="E63" s="875"/>
      <c r="F63" s="876"/>
      <c r="G63" s="876"/>
      <c r="H63" s="876"/>
      <c r="I63" s="876"/>
      <c r="J63" s="876"/>
      <c r="K63" s="876"/>
      <c r="L63" s="877"/>
      <c r="M63" s="750">
        <f t="shared" si="0"/>
        <v>907900</v>
      </c>
      <c r="O63" s="853"/>
    </row>
    <row r="64" spans="1:15" s="450" customFormat="1" ht="17.25" customHeight="1" x14ac:dyDescent="0.25">
      <c r="A64" s="751" t="s">
        <v>1132</v>
      </c>
      <c r="B64" s="751"/>
      <c r="C64" s="745" t="s">
        <v>1133</v>
      </c>
      <c r="D64" s="914">
        <v>900100</v>
      </c>
      <c r="E64" s="875"/>
      <c r="F64" s="876"/>
      <c r="G64" s="876"/>
      <c r="H64" s="876"/>
      <c r="I64" s="876"/>
      <c r="J64" s="876"/>
      <c r="K64" s="876"/>
      <c r="L64" s="877"/>
      <c r="M64" s="750">
        <f t="shared" si="0"/>
        <v>900100</v>
      </c>
      <c r="O64" s="853"/>
    </row>
    <row r="65" spans="1:16" s="450" customFormat="1" ht="17.25" customHeight="1" x14ac:dyDescent="0.25">
      <c r="A65" s="751" t="s">
        <v>1134</v>
      </c>
      <c r="B65" s="751"/>
      <c r="C65" s="745" t="s">
        <v>1135</v>
      </c>
      <c r="D65" s="914">
        <v>590800</v>
      </c>
      <c r="E65" s="875"/>
      <c r="F65" s="876"/>
      <c r="G65" s="876"/>
      <c r="H65" s="876"/>
      <c r="I65" s="876"/>
      <c r="J65" s="876"/>
      <c r="K65" s="876"/>
      <c r="L65" s="877"/>
      <c r="M65" s="750">
        <f t="shared" si="0"/>
        <v>590800</v>
      </c>
      <c r="O65" s="853"/>
    </row>
    <row r="66" spans="1:16" s="450" customFormat="1" ht="17.25" customHeight="1" x14ac:dyDescent="0.25">
      <c r="A66" s="751" t="s">
        <v>1136</v>
      </c>
      <c r="B66" s="751"/>
      <c r="C66" s="745" t="s">
        <v>1137</v>
      </c>
      <c r="D66" s="914">
        <v>4763300</v>
      </c>
      <c r="E66" s="875"/>
      <c r="F66" s="876"/>
      <c r="G66" s="876"/>
      <c r="H66" s="876"/>
      <c r="I66" s="876"/>
      <c r="J66" s="876"/>
      <c r="K66" s="876"/>
      <c r="L66" s="877"/>
      <c r="M66" s="750">
        <f t="shared" si="0"/>
        <v>4763300</v>
      </c>
      <c r="O66" s="853"/>
    </row>
    <row r="67" spans="1:16" s="450" customFormat="1" ht="17.25" customHeight="1" x14ac:dyDescent="0.25">
      <c r="A67" s="751" t="s">
        <v>1138</v>
      </c>
      <c r="B67" s="751"/>
      <c r="C67" s="745" t="s">
        <v>1139</v>
      </c>
      <c r="D67" s="914">
        <v>2721300</v>
      </c>
      <c r="E67" s="875"/>
      <c r="F67" s="876"/>
      <c r="G67" s="876"/>
      <c r="H67" s="876"/>
      <c r="I67" s="876"/>
      <c r="J67" s="876"/>
      <c r="K67" s="876"/>
      <c r="L67" s="877"/>
      <c r="M67" s="750">
        <f t="shared" si="0"/>
        <v>2721300</v>
      </c>
      <c r="O67" s="853"/>
    </row>
    <row r="68" spans="1:16" s="450" customFormat="1" ht="17.25" customHeight="1" x14ac:dyDescent="0.25">
      <c r="A68" s="751" t="s">
        <v>1140</v>
      </c>
      <c r="B68" s="751"/>
      <c r="C68" s="745" t="s">
        <v>1141</v>
      </c>
      <c r="D68" s="914">
        <v>1562200</v>
      </c>
      <c r="E68" s="875"/>
      <c r="F68" s="876"/>
      <c r="G68" s="876"/>
      <c r="H68" s="876"/>
      <c r="I68" s="876"/>
      <c r="J68" s="876"/>
      <c r="K68" s="876"/>
      <c r="L68" s="877"/>
      <c r="M68" s="750">
        <f t="shared" si="0"/>
        <v>1562200</v>
      </c>
      <c r="O68" s="853"/>
    </row>
    <row r="69" spans="1:16" s="450" customFormat="1" ht="17.25" customHeight="1" x14ac:dyDescent="0.25">
      <c r="A69" s="751" t="s">
        <v>1142</v>
      </c>
      <c r="B69" s="751"/>
      <c r="C69" s="745" t="s">
        <v>1143</v>
      </c>
      <c r="D69" s="914">
        <v>1848700</v>
      </c>
      <c r="E69" s="875"/>
      <c r="F69" s="876"/>
      <c r="G69" s="876"/>
      <c r="H69" s="876"/>
      <c r="I69" s="876"/>
      <c r="J69" s="876"/>
      <c r="K69" s="876"/>
      <c r="L69" s="877"/>
      <c r="M69" s="750">
        <f t="shared" si="0"/>
        <v>1848700</v>
      </c>
      <c r="O69" s="853"/>
    </row>
    <row r="70" spans="1:16" s="450" customFormat="1" ht="17.25" customHeight="1" x14ac:dyDescent="0.25">
      <c r="A70" s="751" t="s">
        <v>1144</v>
      </c>
      <c r="B70" s="751"/>
      <c r="C70" s="745" t="s">
        <v>1145</v>
      </c>
      <c r="D70" s="914">
        <v>1646700</v>
      </c>
      <c r="E70" s="875"/>
      <c r="F70" s="876"/>
      <c r="G70" s="876"/>
      <c r="H70" s="876"/>
      <c r="I70" s="876"/>
      <c r="J70" s="876"/>
      <c r="K70" s="876"/>
      <c r="L70" s="877"/>
      <c r="M70" s="750">
        <f t="shared" si="0"/>
        <v>1646700</v>
      </c>
      <c r="O70" s="853"/>
    </row>
    <row r="71" spans="1:16" s="450" customFormat="1" ht="17.25" customHeight="1" x14ac:dyDescent="0.25">
      <c r="A71" s="751" t="s">
        <v>1146</v>
      </c>
      <c r="B71" s="751"/>
      <c r="C71" s="745" t="s">
        <v>1147</v>
      </c>
      <c r="D71" s="914">
        <v>1880400</v>
      </c>
      <c r="E71" s="875"/>
      <c r="F71" s="876"/>
      <c r="G71" s="876"/>
      <c r="H71" s="876"/>
      <c r="I71" s="876"/>
      <c r="J71" s="876"/>
      <c r="K71" s="876"/>
      <c r="L71" s="877"/>
      <c r="M71" s="750">
        <f t="shared" ref="M71:M134" si="1">SUM(D71:H71)</f>
        <v>1880400</v>
      </c>
      <c r="O71" s="853"/>
    </row>
    <row r="72" spans="1:16" s="450" customFormat="1" ht="17.25" customHeight="1" x14ac:dyDescent="0.25">
      <c r="A72" s="751" t="s">
        <v>1148</v>
      </c>
      <c r="B72" s="751"/>
      <c r="C72" s="745" t="s">
        <v>1149</v>
      </c>
      <c r="D72" s="914">
        <v>1284000</v>
      </c>
      <c r="E72" s="1222"/>
      <c r="F72" s="1223"/>
      <c r="G72" s="1223"/>
      <c r="H72" s="1223"/>
      <c r="I72" s="1223"/>
      <c r="J72" s="1223"/>
      <c r="K72" s="1223"/>
      <c r="L72" s="1224"/>
      <c r="M72" s="750">
        <f t="shared" si="1"/>
        <v>1284000</v>
      </c>
      <c r="O72" s="853"/>
    </row>
    <row r="73" spans="1:16" s="450" customFormat="1" ht="17.25" customHeight="1" x14ac:dyDescent="0.25">
      <c r="A73" s="1741" t="s">
        <v>303</v>
      </c>
      <c r="B73" s="1738">
        <v>9770</v>
      </c>
      <c r="C73" s="1753" t="s">
        <v>305</v>
      </c>
      <c r="D73" s="1089">
        <f>SUM(D77:D143)</f>
        <v>5294772</v>
      </c>
      <c r="E73" s="929"/>
      <c r="F73" s="966"/>
      <c r="G73" s="966"/>
      <c r="H73" s="966"/>
      <c r="I73" s="1203"/>
      <c r="J73" s="1203"/>
      <c r="K73" s="1203"/>
      <c r="L73" s="1204"/>
      <c r="M73" s="750">
        <f t="shared" si="1"/>
        <v>5294772</v>
      </c>
      <c r="O73" s="860" t="b">
        <f>D73=дод3!F28</f>
        <v>1</v>
      </c>
      <c r="P73" s="861"/>
    </row>
    <row r="74" spans="1:16" s="450" customFormat="1" ht="17.25" customHeight="1" x14ac:dyDescent="0.25">
      <c r="A74" s="1742"/>
      <c r="B74" s="1739"/>
      <c r="C74" s="1754"/>
      <c r="D74" s="1099"/>
      <c r="E74" s="931"/>
      <c r="F74" s="1125"/>
      <c r="G74" s="1125"/>
      <c r="H74" s="1125"/>
      <c r="I74" s="1189"/>
      <c r="J74" s="1189"/>
      <c r="K74" s="1189"/>
      <c r="L74" s="1190"/>
      <c r="M74" s="750">
        <v>1</v>
      </c>
      <c r="O74" s="853"/>
    </row>
    <row r="75" spans="1:16" s="450" customFormat="1" ht="17.25" customHeight="1" x14ac:dyDescent="0.25">
      <c r="A75" s="1742"/>
      <c r="B75" s="1739"/>
      <c r="C75" s="1754"/>
      <c r="D75" s="1099"/>
      <c r="E75" s="931"/>
      <c r="F75" s="1125"/>
      <c r="G75" s="1125"/>
      <c r="H75" s="1125"/>
      <c r="I75" s="1189"/>
      <c r="J75" s="1189"/>
      <c r="K75" s="1189"/>
      <c r="L75" s="1190"/>
      <c r="M75" s="750">
        <v>1</v>
      </c>
      <c r="O75" s="853"/>
    </row>
    <row r="76" spans="1:16" s="450" customFormat="1" ht="17.25" customHeight="1" x14ac:dyDescent="0.25">
      <c r="A76" s="1743"/>
      <c r="B76" s="1740"/>
      <c r="C76" s="1755"/>
      <c r="D76" s="1098"/>
      <c r="E76" s="933"/>
      <c r="F76" s="1127"/>
      <c r="G76" s="1127"/>
      <c r="H76" s="1127"/>
      <c r="I76" s="1191"/>
      <c r="J76" s="1191"/>
      <c r="K76" s="1191"/>
      <c r="L76" s="1192"/>
      <c r="M76" s="750">
        <v>1</v>
      </c>
      <c r="O76" s="853"/>
    </row>
    <row r="77" spans="1:16" s="450" customFormat="1" ht="17.25" hidden="1" customHeight="1" x14ac:dyDescent="0.25">
      <c r="A77" s="751" t="s">
        <v>526</v>
      </c>
      <c r="B77" s="751"/>
      <c r="C77" s="745" t="s">
        <v>1060</v>
      </c>
      <c r="D77" s="762"/>
      <c r="E77" s="875"/>
      <c r="F77" s="876"/>
      <c r="G77" s="876"/>
      <c r="H77" s="876"/>
      <c r="I77" s="876"/>
      <c r="J77" s="876"/>
      <c r="K77" s="876"/>
      <c r="L77" s="877"/>
      <c r="M77" s="750">
        <f t="shared" si="1"/>
        <v>0</v>
      </c>
      <c r="O77" s="853"/>
    </row>
    <row r="78" spans="1:16" s="450" customFormat="1" ht="17.25" hidden="1" customHeight="1" x14ac:dyDescent="0.25">
      <c r="A78" s="751" t="s">
        <v>527</v>
      </c>
      <c r="B78" s="751"/>
      <c r="C78" s="745" t="s">
        <v>1069</v>
      </c>
      <c r="D78" s="867"/>
      <c r="E78" s="875"/>
      <c r="F78" s="876"/>
      <c r="G78" s="876"/>
      <c r="H78" s="876"/>
      <c r="I78" s="876"/>
      <c r="J78" s="876"/>
      <c r="K78" s="876"/>
      <c r="L78" s="877"/>
      <c r="M78" s="750">
        <f t="shared" si="1"/>
        <v>0</v>
      </c>
      <c r="O78" s="853"/>
    </row>
    <row r="79" spans="1:16" s="450" customFormat="1" ht="17.25" hidden="1" customHeight="1" x14ac:dyDescent="0.25">
      <c r="A79" s="751" t="s">
        <v>528</v>
      </c>
      <c r="B79" s="751"/>
      <c r="C79" s="745" t="s">
        <v>1070</v>
      </c>
      <c r="D79" s="867"/>
      <c r="E79" s="875"/>
      <c r="F79" s="876"/>
      <c r="G79" s="876"/>
      <c r="H79" s="876"/>
      <c r="I79" s="876"/>
      <c r="J79" s="876"/>
      <c r="K79" s="876"/>
      <c r="L79" s="877"/>
      <c r="M79" s="750">
        <f t="shared" si="1"/>
        <v>0</v>
      </c>
      <c r="O79" s="853"/>
    </row>
    <row r="80" spans="1:16" s="450" customFormat="1" ht="17.25" hidden="1" customHeight="1" x14ac:dyDescent="0.25">
      <c r="A80" s="751" t="s">
        <v>529</v>
      </c>
      <c r="B80" s="751"/>
      <c r="C80" s="745" t="s">
        <v>1071</v>
      </c>
      <c r="D80" s="867"/>
      <c r="E80" s="875"/>
      <c r="F80" s="876"/>
      <c r="G80" s="876"/>
      <c r="H80" s="876"/>
      <c r="I80" s="876"/>
      <c r="J80" s="876"/>
      <c r="K80" s="876"/>
      <c r="L80" s="877"/>
      <c r="M80" s="750">
        <f t="shared" si="1"/>
        <v>0</v>
      </c>
      <c r="O80" s="853"/>
    </row>
    <row r="81" spans="1:15" s="450" customFormat="1" ht="17.25" customHeight="1" x14ac:dyDescent="0.25">
      <c r="A81" s="751" t="s">
        <v>530</v>
      </c>
      <c r="B81" s="751"/>
      <c r="C81" s="745" t="s">
        <v>1072</v>
      </c>
      <c r="D81" s="762">
        <v>30000</v>
      </c>
      <c r="E81" s="875"/>
      <c r="F81" s="876"/>
      <c r="G81" s="876"/>
      <c r="H81" s="876"/>
      <c r="I81" s="876"/>
      <c r="J81" s="876"/>
      <c r="K81" s="876"/>
      <c r="L81" s="877"/>
      <c r="M81" s="750">
        <f t="shared" si="1"/>
        <v>30000</v>
      </c>
      <c r="O81" s="853"/>
    </row>
    <row r="82" spans="1:15" s="450" customFormat="1" ht="17.25" customHeight="1" x14ac:dyDescent="0.25">
      <c r="A82" s="751" t="s">
        <v>531</v>
      </c>
      <c r="B82" s="751"/>
      <c r="C82" s="745" t="s">
        <v>1073</v>
      </c>
      <c r="D82" s="762">
        <v>10000</v>
      </c>
      <c r="E82" s="875"/>
      <c r="F82" s="876"/>
      <c r="G82" s="876"/>
      <c r="H82" s="876"/>
      <c r="I82" s="876"/>
      <c r="J82" s="876"/>
      <c r="K82" s="876"/>
      <c r="L82" s="877"/>
      <c r="M82" s="750">
        <f t="shared" si="1"/>
        <v>10000</v>
      </c>
      <c r="O82" s="853"/>
    </row>
    <row r="83" spans="1:15" s="450" customFormat="1" ht="17.25" customHeight="1" x14ac:dyDescent="0.25">
      <c r="A83" s="751" t="s">
        <v>532</v>
      </c>
      <c r="B83" s="751"/>
      <c r="C83" s="745" t="s">
        <v>1074</v>
      </c>
      <c r="D83" s="762">
        <v>49900</v>
      </c>
      <c r="E83" s="875"/>
      <c r="F83" s="876"/>
      <c r="G83" s="876"/>
      <c r="H83" s="876"/>
      <c r="I83" s="876"/>
      <c r="J83" s="876"/>
      <c r="K83" s="876"/>
      <c r="L83" s="877"/>
      <c r="M83" s="750">
        <f t="shared" si="1"/>
        <v>49900</v>
      </c>
      <c r="O83" s="853"/>
    </row>
    <row r="84" spans="1:15" s="450" customFormat="1" ht="17.25" hidden="1" customHeight="1" x14ac:dyDescent="0.25">
      <c r="A84" s="751" t="s">
        <v>533</v>
      </c>
      <c r="B84" s="751"/>
      <c r="C84" s="745" t="s">
        <v>1075</v>
      </c>
      <c r="D84" s="867"/>
      <c r="E84" s="875"/>
      <c r="F84" s="876"/>
      <c r="G84" s="876"/>
      <c r="H84" s="876"/>
      <c r="I84" s="876"/>
      <c r="J84" s="876"/>
      <c r="K84" s="876"/>
      <c r="L84" s="877"/>
      <c r="M84" s="750">
        <f t="shared" si="1"/>
        <v>0</v>
      </c>
      <c r="O84" s="853"/>
    </row>
    <row r="85" spans="1:15" s="450" customFormat="1" ht="17.25" hidden="1" customHeight="1" x14ac:dyDescent="0.25">
      <c r="A85" s="751" t="s">
        <v>534</v>
      </c>
      <c r="B85" s="751"/>
      <c r="C85" s="745" t="s">
        <v>1076</v>
      </c>
      <c r="D85" s="762"/>
      <c r="E85" s="875"/>
      <c r="F85" s="876"/>
      <c r="G85" s="876"/>
      <c r="H85" s="876"/>
      <c r="I85" s="876"/>
      <c r="J85" s="876"/>
      <c r="K85" s="876"/>
      <c r="L85" s="877"/>
      <c r="M85" s="750">
        <f t="shared" si="1"/>
        <v>0</v>
      </c>
      <c r="O85" s="853"/>
    </row>
    <row r="86" spans="1:15" s="450" customFormat="1" ht="17.25" customHeight="1" x14ac:dyDescent="0.25">
      <c r="A86" s="751" t="s">
        <v>535</v>
      </c>
      <c r="B86" s="751"/>
      <c r="C86" s="745" t="s">
        <v>1077</v>
      </c>
      <c r="D86" s="619">
        <f>8000+91044</f>
        <v>99044</v>
      </c>
      <c r="E86" s="875"/>
      <c r="F86" s="876"/>
      <c r="G86" s="876"/>
      <c r="H86" s="876"/>
      <c r="I86" s="876"/>
      <c r="J86" s="876"/>
      <c r="K86" s="876"/>
      <c r="L86" s="877"/>
      <c r="M86" s="750">
        <f t="shared" si="1"/>
        <v>99044</v>
      </c>
      <c r="O86" s="853"/>
    </row>
    <row r="87" spans="1:15" s="450" customFormat="1" ht="17.25" hidden="1" customHeight="1" x14ac:dyDescent="0.25">
      <c r="A87" s="751" t="s">
        <v>536</v>
      </c>
      <c r="B87" s="751"/>
      <c r="C87" s="745" t="s">
        <v>1078</v>
      </c>
      <c r="D87" s="867"/>
      <c r="E87" s="875"/>
      <c r="F87" s="876"/>
      <c r="G87" s="876"/>
      <c r="H87" s="876"/>
      <c r="I87" s="876"/>
      <c r="J87" s="876"/>
      <c r="K87" s="876"/>
      <c r="L87" s="877"/>
      <c r="M87" s="750">
        <f t="shared" si="1"/>
        <v>0</v>
      </c>
      <c r="O87" s="853"/>
    </row>
    <row r="88" spans="1:15" s="450" customFormat="1" ht="17.25" hidden="1" customHeight="1" x14ac:dyDescent="0.25">
      <c r="A88" s="751" t="s">
        <v>537</v>
      </c>
      <c r="B88" s="751"/>
      <c r="C88" s="745" t="s">
        <v>1079</v>
      </c>
      <c r="D88" s="867"/>
      <c r="E88" s="875"/>
      <c r="F88" s="876"/>
      <c r="G88" s="876"/>
      <c r="H88" s="876"/>
      <c r="I88" s="876"/>
      <c r="J88" s="876"/>
      <c r="K88" s="876"/>
      <c r="L88" s="877"/>
      <c r="M88" s="750">
        <f t="shared" si="1"/>
        <v>0</v>
      </c>
      <c r="O88" s="853"/>
    </row>
    <row r="89" spans="1:15" s="450" customFormat="1" ht="17.25" customHeight="1" x14ac:dyDescent="0.25">
      <c r="A89" s="751" t="s">
        <v>538</v>
      </c>
      <c r="B89" s="751"/>
      <c r="C89" s="745" t="s">
        <v>1080</v>
      </c>
      <c r="D89" s="914">
        <f>36200+11600</f>
        <v>47800</v>
      </c>
      <c r="E89" s="875"/>
      <c r="F89" s="876"/>
      <c r="G89" s="876"/>
      <c r="H89" s="876"/>
      <c r="I89" s="876"/>
      <c r="J89" s="876"/>
      <c r="K89" s="876"/>
      <c r="L89" s="877"/>
      <c r="M89" s="750">
        <f t="shared" si="1"/>
        <v>47800</v>
      </c>
      <c r="O89" s="853"/>
    </row>
    <row r="90" spans="1:15" s="450" customFormat="1" ht="17.25" hidden="1" customHeight="1" x14ac:dyDescent="0.25">
      <c r="A90" s="751" t="s">
        <v>539</v>
      </c>
      <c r="B90" s="751"/>
      <c r="C90" s="745" t="s">
        <v>1081</v>
      </c>
      <c r="D90" s="867"/>
      <c r="E90" s="875"/>
      <c r="F90" s="876"/>
      <c r="G90" s="876"/>
      <c r="H90" s="876"/>
      <c r="I90" s="876"/>
      <c r="J90" s="876"/>
      <c r="K90" s="876"/>
      <c r="L90" s="877"/>
      <c r="M90" s="750">
        <f t="shared" si="1"/>
        <v>0</v>
      </c>
      <c r="O90" s="853"/>
    </row>
    <row r="91" spans="1:15" s="450" customFormat="1" ht="17.25" hidden="1" customHeight="1" x14ac:dyDescent="0.25">
      <c r="A91" s="751" t="s">
        <v>540</v>
      </c>
      <c r="B91" s="751"/>
      <c r="C91" s="745" t="s">
        <v>1082</v>
      </c>
      <c r="D91" s="762"/>
      <c r="E91" s="875"/>
      <c r="F91" s="876"/>
      <c r="G91" s="876"/>
      <c r="H91" s="876"/>
      <c r="I91" s="876"/>
      <c r="J91" s="876"/>
      <c r="K91" s="876"/>
      <c r="L91" s="877"/>
      <c r="M91" s="750">
        <f t="shared" si="1"/>
        <v>0</v>
      </c>
      <c r="O91" s="853"/>
    </row>
    <row r="92" spans="1:15" s="450" customFormat="1" ht="17.25" customHeight="1" x14ac:dyDescent="0.25">
      <c r="A92" s="751" t="s">
        <v>541</v>
      </c>
      <c r="B92" s="751"/>
      <c r="C92" s="745" t="s">
        <v>1083</v>
      </c>
      <c r="D92" s="867">
        <v>50000</v>
      </c>
      <c r="E92" s="875"/>
      <c r="F92" s="876"/>
      <c r="G92" s="876"/>
      <c r="H92" s="876"/>
      <c r="I92" s="876"/>
      <c r="J92" s="876"/>
      <c r="K92" s="876"/>
      <c r="L92" s="877"/>
      <c r="M92" s="750">
        <f t="shared" si="1"/>
        <v>50000</v>
      </c>
      <c r="O92" s="853"/>
    </row>
    <row r="93" spans="1:15" s="450" customFormat="1" ht="17.25" customHeight="1" x14ac:dyDescent="0.25">
      <c r="A93" s="751" t="s">
        <v>542</v>
      </c>
      <c r="B93" s="751"/>
      <c r="C93" s="745" t="s">
        <v>1084</v>
      </c>
      <c r="D93" s="914">
        <f>108600+30000</f>
        <v>138600</v>
      </c>
      <c r="E93" s="875"/>
      <c r="F93" s="876"/>
      <c r="G93" s="876"/>
      <c r="H93" s="876"/>
      <c r="I93" s="876"/>
      <c r="J93" s="876"/>
      <c r="K93" s="876"/>
      <c r="L93" s="877"/>
      <c r="M93" s="750">
        <f t="shared" si="1"/>
        <v>138600</v>
      </c>
      <c r="O93" s="853"/>
    </row>
    <row r="94" spans="1:15" s="450" customFormat="1" ht="17.25" customHeight="1" x14ac:dyDescent="0.25">
      <c r="A94" s="751" t="s">
        <v>543</v>
      </c>
      <c r="B94" s="751"/>
      <c r="C94" s="745" t="s">
        <v>1085</v>
      </c>
      <c r="D94" s="619">
        <v>60000</v>
      </c>
      <c r="E94" s="875"/>
      <c r="F94" s="876"/>
      <c r="G94" s="876"/>
      <c r="H94" s="876"/>
      <c r="I94" s="876"/>
      <c r="J94" s="876"/>
      <c r="K94" s="876"/>
      <c r="L94" s="877"/>
      <c r="M94" s="750">
        <f t="shared" si="1"/>
        <v>60000</v>
      </c>
      <c r="O94" s="853"/>
    </row>
    <row r="95" spans="1:15" s="450" customFormat="1" ht="17.25" customHeight="1" x14ac:dyDescent="0.25">
      <c r="A95" s="751" t="s">
        <v>544</v>
      </c>
      <c r="B95" s="751"/>
      <c r="C95" s="745" t="s">
        <v>1086</v>
      </c>
      <c r="D95" s="619">
        <v>5000</v>
      </c>
      <c r="E95" s="875"/>
      <c r="F95" s="876"/>
      <c r="G95" s="876"/>
      <c r="H95" s="876"/>
      <c r="I95" s="876"/>
      <c r="J95" s="876"/>
      <c r="K95" s="876"/>
      <c r="L95" s="877"/>
      <c r="M95" s="750">
        <f t="shared" si="1"/>
        <v>5000</v>
      </c>
      <c r="O95" s="853"/>
    </row>
    <row r="96" spans="1:15" s="450" customFormat="1" ht="17.25" customHeight="1" x14ac:dyDescent="0.25">
      <c r="A96" s="751" t="s">
        <v>545</v>
      </c>
      <c r="B96" s="751"/>
      <c r="C96" s="745" t="s">
        <v>1087</v>
      </c>
      <c r="D96" s="867">
        <v>60000</v>
      </c>
      <c r="E96" s="875"/>
      <c r="F96" s="876"/>
      <c r="G96" s="876"/>
      <c r="H96" s="876"/>
      <c r="I96" s="876"/>
      <c r="J96" s="876"/>
      <c r="K96" s="876"/>
      <c r="L96" s="877"/>
      <c r="M96" s="750">
        <f t="shared" si="1"/>
        <v>60000</v>
      </c>
      <c r="O96" s="853"/>
    </row>
    <row r="97" spans="1:15" s="450" customFormat="1" ht="17.25" hidden="1" customHeight="1" x14ac:dyDescent="0.25">
      <c r="A97" s="751" t="s">
        <v>546</v>
      </c>
      <c r="B97" s="751"/>
      <c r="C97" s="745" t="s">
        <v>1088</v>
      </c>
      <c r="D97" s="867"/>
      <c r="E97" s="875"/>
      <c r="F97" s="876"/>
      <c r="G97" s="876"/>
      <c r="H97" s="876"/>
      <c r="I97" s="876"/>
      <c r="J97" s="876"/>
      <c r="K97" s="876"/>
      <c r="L97" s="877"/>
      <c r="M97" s="750">
        <f t="shared" si="1"/>
        <v>0</v>
      </c>
      <c r="O97" s="853"/>
    </row>
    <row r="98" spans="1:15" s="450" customFormat="1" ht="17.25" hidden="1" customHeight="1" x14ac:dyDescent="0.25">
      <c r="A98" s="751" t="s">
        <v>547</v>
      </c>
      <c r="B98" s="751"/>
      <c r="C98" s="745" t="s">
        <v>1089</v>
      </c>
      <c r="D98" s="762"/>
      <c r="E98" s="875"/>
      <c r="F98" s="876"/>
      <c r="G98" s="876"/>
      <c r="H98" s="876"/>
      <c r="I98" s="876"/>
      <c r="J98" s="876"/>
      <c r="K98" s="876"/>
      <c r="L98" s="877"/>
      <c r="M98" s="750">
        <f t="shared" si="1"/>
        <v>0</v>
      </c>
      <c r="O98" s="853"/>
    </row>
    <row r="99" spans="1:15" s="450" customFormat="1" ht="17.25" hidden="1" customHeight="1" x14ac:dyDescent="0.25">
      <c r="A99" s="751" t="s">
        <v>548</v>
      </c>
      <c r="B99" s="751"/>
      <c r="C99" s="745" t="s">
        <v>1090</v>
      </c>
      <c r="D99" s="762"/>
      <c r="E99" s="875"/>
      <c r="F99" s="876"/>
      <c r="G99" s="876"/>
      <c r="H99" s="876"/>
      <c r="I99" s="876"/>
      <c r="J99" s="876"/>
      <c r="K99" s="876"/>
      <c r="L99" s="877"/>
      <c r="M99" s="750">
        <f t="shared" si="1"/>
        <v>0</v>
      </c>
      <c r="O99" s="853"/>
    </row>
    <row r="100" spans="1:15" s="450" customFormat="1" ht="17.25" customHeight="1" x14ac:dyDescent="0.25">
      <c r="A100" s="751" t="s">
        <v>549</v>
      </c>
      <c r="B100" s="751"/>
      <c r="C100" s="745" t="s">
        <v>1091</v>
      </c>
      <c r="D100" s="762">
        <v>30000</v>
      </c>
      <c r="E100" s="875"/>
      <c r="F100" s="876"/>
      <c r="G100" s="876"/>
      <c r="H100" s="876"/>
      <c r="I100" s="876"/>
      <c r="J100" s="876"/>
      <c r="K100" s="876"/>
      <c r="L100" s="877"/>
      <c r="M100" s="750">
        <f t="shared" si="1"/>
        <v>30000</v>
      </c>
      <c r="O100" s="853"/>
    </row>
    <row r="101" spans="1:15" s="450" customFormat="1" ht="17.25" hidden="1" customHeight="1" x14ac:dyDescent="0.25">
      <c r="A101" s="751" t="s">
        <v>550</v>
      </c>
      <c r="B101" s="751"/>
      <c r="C101" s="745" t="s">
        <v>1092</v>
      </c>
      <c r="D101" s="867"/>
      <c r="E101" s="875"/>
      <c r="F101" s="876"/>
      <c r="G101" s="876"/>
      <c r="H101" s="876"/>
      <c r="I101" s="876"/>
      <c r="J101" s="876"/>
      <c r="K101" s="876"/>
      <c r="L101" s="877"/>
      <c r="M101" s="750">
        <f t="shared" si="1"/>
        <v>0</v>
      </c>
      <c r="O101" s="853"/>
    </row>
    <row r="102" spans="1:15" s="450" customFormat="1" ht="17.25" customHeight="1" x14ac:dyDescent="0.25">
      <c r="A102" s="751" t="s">
        <v>551</v>
      </c>
      <c r="B102" s="751"/>
      <c r="C102" s="745" t="s">
        <v>1093</v>
      </c>
      <c r="D102" s="619">
        <v>16451</v>
      </c>
      <c r="E102" s="875"/>
      <c r="F102" s="876"/>
      <c r="G102" s="876"/>
      <c r="H102" s="876"/>
      <c r="I102" s="876"/>
      <c r="J102" s="876"/>
      <c r="K102" s="876"/>
      <c r="L102" s="877"/>
      <c r="M102" s="750">
        <f t="shared" si="1"/>
        <v>16451</v>
      </c>
      <c r="O102" s="853"/>
    </row>
    <row r="103" spans="1:15" s="450" customFormat="1" ht="17.25" customHeight="1" x14ac:dyDescent="0.25">
      <c r="A103" s="751" t="s">
        <v>552</v>
      </c>
      <c r="B103" s="751"/>
      <c r="C103" s="745" t="s">
        <v>1094</v>
      </c>
      <c r="D103" s="867">
        <v>99674</v>
      </c>
      <c r="E103" s="875"/>
      <c r="F103" s="876"/>
      <c r="G103" s="876"/>
      <c r="H103" s="876"/>
      <c r="I103" s="876"/>
      <c r="J103" s="876"/>
      <c r="K103" s="876"/>
      <c r="L103" s="877"/>
      <c r="M103" s="750">
        <f t="shared" si="1"/>
        <v>99674</v>
      </c>
      <c r="O103" s="853"/>
    </row>
    <row r="104" spans="1:15" s="450" customFormat="1" ht="17.25" customHeight="1" x14ac:dyDescent="0.25">
      <c r="A104" s="751" t="s">
        <v>553</v>
      </c>
      <c r="B104" s="751"/>
      <c r="C104" s="745" t="s">
        <v>1095</v>
      </c>
      <c r="D104" s="867">
        <v>71703</v>
      </c>
      <c r="E104" s="875"/>
      <c r="F104" s="876"/>
      <c r="G104" s="876"/>
      <c r="H104" s="876"/>
      <c r="I104" s="876"/>
      <c r="J104" s="876"/>
      <c r="K104" s="876"/>
      <c r="L104" s="877"/>
      <c r="M104" s="750">
        <f t="shared" si="1"/>
        <v>71703</v>
      </c>
      <c r="O104" s="853"/>
    </row>
    <row r="105" spans="1:15" s="450" customFormat="1" ht="17.25" customHeight="1" x14ac:dyDescent="0.25">
      <c r="A105" s="751" t="s">
        <v>554</v>
      </c>
      <c r="B105" s="751"/>
      <c r="C105" s="745" t="s">
        <v>1096</v>
      </c>
      <c r="D105" s="914">
        <f>10000+261984</f>
        <v>271984</v>
      </c>
      <c r="E105" s="875"/>
      <c r="F105" s="876"/>
      <c r="G105" s="876"/>
      <c r="H105" s="876"/>
      <c r="I105" s="876"/>
      <c r="J105" s="876"/>
      <c r="K105" s="876"/>
      <c r="L105" s="877"/>
      <c r="M105" s="750">
        <f t="shared" si="1"/>
        <v>271984</v>
      </c>
      <c r="O105" s="853"/>
    </row>
    <row r="106" spans="1:15" s="450" customFormat="1" ht="17.25" hidden="1" customHeight="1" x14ac:dyDescent="0.25">
      <c r="A106" s="751" t="s">
        <v>555</v>
      </c>
      <c r="B106" s="751"/>
      <c r="C106" s="745" t="s">
        <v>1097</v>
      </c>
      <c r="D106" s="762"/>
      <c r="E106" s="875"/>
      <c r="F106" s="876"/>
      <c r="G106" s="876"/>
      <c r="H106" s="876"/>
      <c r="I106" s="876"/>
      <c r="J106" s="876"/>
      <c r="K106" s="876"/>
      <c r="L106" s="877"/>
      <c r="M106" s="750">
        <f t="shared" si="1"/>
        <v>0</v>
      </c>
      <c r="O106" s="853"/>
    </row>
    <row r="107" spans="1:15" s="450" customFormat="1" ht="17.25" customHeight="1" x14ac:dyDescent="0.25">
      <c r="A107" s="751" t="s">
        <v>556</v>
      </c>
      <c r="B107" s="751"/>
      <c r="C107" s="745" t="s">
        <v>1098</v>
      </c>
      <c r="D107" s="762">
        <v>6200</v>
      </c>
      <c r="E107" s="875"/>
      <c r="F107" s="876"/>
      <c r="G107" s="876"/>
      <c r="H107" s="876"/>
      <c r="I107" s="876"/>
      <c r="J107" s="876"/>
      <c r="K107" s="876"/>
      <c r="L107" s="877"/>
      <c r="M107" s="750">
        <f t="shared" si="1"/>
        <v>6200</v>
      </c>
      <c r="O107" s="853"/>
    </row>
    <row r="108" spans="1:15" s="450" customFormat="1" ht="17.25" customHeight="1" x14ac:dyDescent="0.25">
      <c r="A108" s="751" t="s">
        <v>557</v>
      </c>
      <c r="B108" s="751"/>
      <c r="C108" s="745" t="s">
        <v>1099</v>
      </c>
      <c r="D108" s="914">
        <f>36000+191000</f>
        <v>227000</v>
      </c>
      <c r="E108" s="875"/>
      <c r="F108" s="876"/>
      <c r="G108" s="876"/>
      <c r="H108" s="876"/>
      <c r="I108" s="876"/>
      <c r="J108" s="876"/>
      <c r="K108" s="876"/>
      <c r="L108" s="877"/>
      <c r="M108" s="750">
        <f t="shared" si="1"/>
        <v>227000</v>
      </c>
      <c r="O108" s="853"/>
    </row>
    <row r="109" spans="1:15" s="450" customFormat="1" ht="17.25" customHeight="1" x14ac:dyDescent="0.25">
      <c r="A109" s="751" t="s">
        <v>558</v>
      </c>
      <c r="B109" s="751"/>
      <c r="C109" s="745" t="s">
        <v>1100</v>
      </c>
      <c r="D109" s="914">
        <f>182350+60000</f>
        <v>242350</v>
      </c>
      <c r="E109" s="875"/>
      <c r="F109" s="876"/>
      <c r="G109" s="876"/>
      <c r="H109" s="876"/>
      <c r="I109" s="876"/>
      <c r="J109" s="876"/>
      <c r="K109" s="876"/>
      <c r="L109" s="877"/>
      <c r="M109" s="750">
        <f t="shared" si="1"/>
        <v>242350</v>
      </c>
      <c r="O109" s="853"/>
    </row>
    <row r="110" spans="1:15" s="450" customFormat="1" ht="17.25" customHeight="1" x14ac:dyDescent="0.25">
      <c r="A110" s="751" t="s">
        <v>559</v>
      </c>
      <c r="B110" s="751"/>
      <c r="C110" s="745" t="s">
        <v>1101</v>
      </c>
      <c r="D110" s="867">
        <v>90500</v>
      </c>
      <c r="E110" s="875"/>
      <c r="F110" s="876"/>
      <c r="G110" s="876"/>
      <c r="H110" s="876"/>
      <c r="I110" s="876"/>
      <c r="J110" s="876"/>
      <c r="K110" s="876"/>
      <c r="L110" s="877"/>
      <c r="M110" s="750">
        <f t="shared" si="1"/>
        <v>90500</v>
      </c>
      <c r="O110" s="853"/>
    </row>
    <row r="111" spans="1:15" s="450" customFormat="1" ht="17.25" hidden="1" customHeight="1" x14ac:dyDescent="0.25">
      <c r="A111" s="751" t="s">
        <v>560</v>
      </c>
      <c r="B111" s="751"/>
      <c r="C111" s="745" t="s">
        <v>1102</v>
      </c>
      <c r="D111" s="867"/>
      <c r="E111" s="875"/>
      <c r="F111" s="876"/>
      <c r="G111" s="876"/>
      <c r="H111" s="876"/>
      <c r="I111" s="876"/>
      <c r="J111" s="876"/>
      <c r="K111" s="876"/>
      <c r="L111" s="877"/>
      <c r="M111" s="750">
        <f t="shared" si="1"/>
        <v>0</v>
      </c>
      <c r="O111" s="853"/>
    </row>
    <row r="112" spans="1:15" s="450" customFormat="1" ht="17.25" customHeight="1" x14ac:dyDescent="0.25">
      <c r="A112" s="751" t="s">
        <v>561</v>
      </c>
      <c r="B112" s="751"/>
      <c r="C112" s="745" t="s">
        <v>1103</v>
      </c>
      <c r="D112" s="867">
        <v>242244</v>
      </c>
      <c r="E112" s="875"/>
      <c r="F112" s="876"/>
      <c r="G112" s="876"/>
      <c r="H112" s="876"/>
      <c r="I112" s="876"/>
      <c r="J112" s="876"/>
      <c r="K112" s="876"/>
      <c r="L112" s="877"/>
      <c r="M112" s="750">
        <f t="shared" si="1"/>
        <v>242244</v>
      </c>
      <c r="O112" s="853"/>
    </row>
    <row r="113" spans="1:15" s="450" customFormat="1" ht="17.25" customHeight="1" x14ac:dyDescent="0.25">
      <c r="A113" s="751" t="s">
        <v>562</v>
      </c>
      <c r="B113" s="751"/>
      <c r="C113" s="745" t="s">
        <v>1104</v>
      </c>
      <c r="D113" s="762">
        <v>18000</v>
      </c>
      <c r="E113" s="875"/>
      <c r="F113" s="876"/>
      <c r="G113" s="876"/>
      <c r="H113" s="876"/>
      <c r="I113" s="876"/>
      <c r="J113" s="876"/>
      <c r="K113" s="876"/>
      <c r="L113" s="877"/>
      <c r="M113" s="750">
        <f t="shared" si="1"/>
        <v>18000</v>
      </c>
      <c r="O113" s="853"/>
    </row>
    <row r="114" spans="1:15" s="450" customFormat="1" ht="17.25" customHeight="1" x14ac:dyDescent="0.25">
      <c r="A114" s="751" t="s">
        <v>563</v>
      </c>
      <c r="B114" s="751"/>
      <c r="C114" s="745" t="s">
        <v>1105</v>
      </c>
      <c r="D114" s="867">
        <v>80000</v>
      </c>
      <c r="E114" s="875"/>
      <c r="F114" s="876"/>
      <c r="G114" s="876"/>
      <c r="H114" s="876"/>
      <c r="I114" s="876"/>
      <c r="J114" s="876"/>
      <c r="K114" s="876"/>
      <c r="L114" s="877"/>
      <c r="M114" s="750">
        <f t="shared" si="1"/>
        <v>80000</v>
      </c>
      <c r="O114" s="853"/>
    </row>
    <row r="115" spans="1:15" s="450" customFormat="1" ht="17.25" customHeight="1" x14ac:dyDescent="0.25">
      <c r="A115" s="751" t="s">
        <v>564</v>
      </c>
      <c r="B115" s="751"/>
      <c r="C115" s="745" t="s">
        <v>1106</v>
      </c>
      <c r="D115" s="914">
        <f>36200+46044</f>
        <v>82244</v>
      </c>
      <c r="E115" s="875"/>
      <c r="F115" s="876"/>
      <c r="G115" s="876"/>
      <c r="H115" s="876"/>
      <c r="I115" s="876"/>
      <c r="J115" s="876"/>
      <c r="K115" s="876"/>
      <c r="L115" s="877"/>
      <c r="M115" s="750">
        <f t="shared" si="1"/>
        <v>82244</v>
      </c>
      <c r="O115" s="853"/>
    </row>
    <row r="116" spans="1:15" s="450" customFormat="1" ht="17.25" customHeight="1" x14ac:dyDescent="0.25">
      <c r="A116" s="751" t="s">
        <v>565</v>
      </c>
      <c r="B116" s="751"/>
      <c r="C116" s="745" t="s">
        <v>1107</v>
      </c>
      <c r="D116" s="914">
        <f>72400+145144</f>
        <v>217544</v>
      </c>
      <c r="E116" s="875"/>
      <c r="F116" s="876"/>
      <c r="G116" s="876"/>
      <c r="H116" s="876"/>
      <c r="I116" s="876"/>
      <c r="J116" s="876"/>
      <c r="K116" s="876"/>
      <c r="L116" s="877"/>
      <c r="M116" s="750">
        <f t="shared" si="1"/>
        <v>217544</v>
      </c>
      <c r="O116" s="853"/>
    </row>
    <row r="117" spans="1:15" s="450" customFormat="1" ht="17.25" customHeight="1" x14ac:dyDescent="0.25">
      <c r="A117" s="751" t="s">
        <v>566</v>
      </c>
      <c r="B117" s="751"/>
      <c r="C117" s="745" t="s">
        <v>1108</v>
      </c>
      <c r="D117" s="762">
        <v>45344</v>
      </c>
      <c r="E117" s="875"/>
      <c r="F117" s="876"/>
      <c r="G117" s="876"/>
      <c r="H117" s="876"/>
      <c r="I117" s="876"/>
      <c r="J117" s="876"/>
      <c r="K117" s="876"/>
      <c r="L117" s="877"/>
      <c r="M117" s="750">
        <f t="shared" si="1"/>
        <v>45344</v>
      </c>
      <c r="O117" s="853"/>
    </row>
    <row r="118" spans="1:15" s="450" customFormat="1" ht="17.25" hidden="1" customHeight="1" x14ac:dyDescent="0.25">
      <c r="A118" s="751" t="s">
        <v>567</v>
      </c>
      <c r="B118" s="751"/>
      <c r="C118" s="745" t="s">
        <v>1109</v>
      </c>
      <c r="D118" s="762"/>
      <c r="E118" s="875"/>
      <c r="F118" s="876"/>
      <c r="G118" s="876"/>
      <c r="H118" s="876"/>
      <c r="I118" s="876"/>
      <c r="J118" s="876"/>
      <c r="K118" s="876"/>
      <c r="L118" s="877"/>
      <c r="M118" s="750">
        <f t="shared" si="1"/>
        <v>0</v>
      </c>
      <c r="O118" s="853"/>
    </row>
    <row r="119" spans="1:15" s="450" customFormat="1" ht="17.25" customHeight="1" x14ac:dyDescent="0.25">
      <c r="A119" s="751" t="s">
        <v>780</v>
      </c>
      <c r="B119" s="751"/>
      <c r="C119" s="745" t="s">
        <v>1110</v>
      </c>
      <c r="D119" s="762">
        <v>10000</v>
      </c>
      <c r="E119" s="875"/>
      <c r="F119" s="876"/>
      <c r="G119" s="876"/>
      <c r="H119" s="876"/>
      <c r="I119" s="876"/>
      <c r="J119" s="876"/>
      <c r="K119" s="876"/>
      <c r="L119" s="877"/>
      <c r="M119" s="750">
        <f t="shared" si="1"/>
        <v>10000</v>
      </c>
      <c r="O119" s="853"/>
    </row>
    <row r="120" spans="1:15" s="450" customFormat="1" ht="17.25" hidden="1" customHeight="1" x14ac:dyDescent="0.25">
      <c r="A120" s="751" t="s">
        <v>781</v>
      </c>
      <c r="B120" s="751"/>
      <c r="C120" s="745" t="s">
        <v>1111</v>
      </c>
      <c r="D120" s="762"/>
      <c r="E120" s="875"/>
      <c r="F120" s="876"/>
      <c r="G120" s="876"/>
      <c r="H120" s="876"/>
      <c r="I120" s="876"/>
      <c r="J120" s="876"/>
      <c r="K120" s="876"/>
      <c r="L120" s="877"/>
      <c r="M120" s="750">
        <f t="shared" si="1"/>
        <v>0</v>
      </c>
      <c r="O120" s="853"/>
    </row>
    <row r="121" spans="1:15" s="450" customFormat="1" ht="17.25" hidden="1" customHeight="1" x14ac:dyDescent="0.25">
      <c r="A121" s="751" t="s">
        <v>782</v>
      </c>
      <c r="B121" s="751"/>
      <c r="C121" s="745" t="s">
        <v>1112</v>
      </c>
      <c r="D121" s="762"/>
      <c r="E121" s="875"/>
      <c r="F121" s="876"/>
      <c r="G121" s="876"/>
      <c r="H121" s="876"/>
      <c r="I121" s="876"/>
      <c r="J121" s="876"/>
      <c r="K121" s="876"/>
      <c r="L121" s="877"/>
      <c r="M121" s="750">
        <f t="shared" si="1"/>
        <v>0</v>
      </c>
      <c r="O121" s="853"/>
    </row>
    <row r="122" spans="1:15" s="450" customFormat="1" ht="17.25" hidden="1" customHeight="1" x14ac:dyDescent="0.25">
      <c r="A122" s="751" t="s">
        <v>783</v>
      </c>
      <c r="B122" s="751"/>
      <c r="C122" s="745" t="s">
        <v>1113</v>
      </c>
      <c r="D122" s="867"/>
      <c r="E122" s="875"/>
      <c r="F122" s="876"/>
      <c r="G122" s="876"/>
      <c r="H122" s="876"/>
      <c r="I122" s="876"/>
      <c r="J122" s="876"/>
      <c r="K122" s="876"/>
      <c r="L122" s="877"/>
      <c r="M122" s="750">
        <f t="shared" si="1"/>
        <v>0</v>
      </c>
      <c r="O122" s="853"/>
    </row>
    <row r="123" spans="1:15" s="450" customFormat="1" ht="17.25" customHeight="1" x14ac:dyDescent="0.25">
      <c r="A123" s="751" t="s">
        <v>784</v>
      </c>
      <c r="B123" s="751"/>
      <c r="C123" s="745" t="s">
        <v>1114</v>
      </c>
      <c r="D123" s="914">
        <f>12596+11200</f>
        <v>23796</v>
      </c>
      <c r="E123" s="875"/>
      <c r="F123" s="876"/>
      <c r="G123" s="876"/>
      <c r="H123" s="876"/>
      <c r="I123" s="876"/>
      <c r="J123" s="876"/>
      <c r="K123" s="876"/>
      <c r="L123" s="877"/>
      <c r="M123" s="750">
        <f t="shared" si="1"/>
        <v>23796</v>
      </c>
      <c r="O123" s="853"/>
    </row>
    <row r="124" spans="1:15" s="450" customFormat="1" ht="17.25" hidden="1" customHeight="1" x14ac:dyDescent="0.25">
      <c r="A124" s="751" t="s">
        <v>785</v>
      </c>
      <c r="B124" s="751"/>
      <c r="C124" s="745" t="s">
        <v>1115</v>
      </c>
      <c r="D124" s="762"/>
      <c r="E124" s="875"/>
      <c r="F124" s="876"/>
      <c r="G124" s="876"/>
      <c r="H124" s="876"/>
      <c r="I124" s="876"/>
      <c r="J124" s="876"/>
      <c r="K124" s="876"/>
      <c r="L124" s="877"/>
      <c r="M124" s="750">
        <f t="shared" si="1"/>
        <v>0</v>
      </c>
      <c r="O124" s="853"/>
    </row>
    <row r="125" spans="1:15" s="450" customFormat="1" ht="17.25" customHeight="1" x14ac:dyDescent="0.25">
      <c r="A125" s="751" t="s">
        <v>910</v>
      </c>
      <c r="B125" s="751"/>
      <c r="C125" s="745" t="s">
        <v>1116</v>
      </c>
      <c r="D125" s="914">
        <f>72400+418394</f>
        <v>490794</v>
      </c>
      <c r="E125" s="875"/>
      <c r="F125" s="876"/>
      <c r="G125" s="876"/>
      <c r="H125" s="876"/>
      <c r="I125" s="876"/>
      <c r="J125" s="876"/>
      <c r="K125" s="876"/>
      <c r="L125" s="877"/>
      <c r="M125" s="750">
        <f t="shared" si="1"/>
        <v>490794</v>
      </c>
      <c r="O125" s="853"/>
    </row>
    <row r="126" spans="1:15" s="450" customFormat="1" ht="17.25" customHeight="1" x14ac:dyDescent="0.25">
      <c r="A126" s="751" t="s">
        <v>911</v>
      </c>
      <c r="B126" s="751"/>
      <c r="C126" s="745" t="s">
        <v>1117</v>
      </c>
      <c r="D126" s="762">
        <v>33284</v>
      </c>
      <c r="E126" s="875"/>
      <c r="F126" s="876"/>
      <c r="G126" s="876"/>
      <c r="H126" s="876"/>
      <c r="I126" s="876"/>
      <c r="J126" s="876"/>
      <c r="K126" s="876"/>
      <c r="L126" s="877"/>
      <c r="M126" s="750">
        <f t="shared" si="1"/>
        <v>33284</v>
      </c>
      <c r="O126" s="853"/>
    </row>
    <row r="127" spans="1:15" s="450" customFormat="1" ht="17.25" customHeight="1" x14ac:dyDescent="0.25">
      <c r="A127" s="751" t="s">
        <v>1118</v>
      </c>
      <c r="B127" s="751"/>
      <c r="C127" s="745" t="s">
        <v>1119</v>
      </c>
      <c r="D127" s="914">
        <v>36200</v>
      </c>
      <c r="E127" s="875"/>
      <c r="F127" s="876"/>
      <c r="G127" s="876"/>
      <c r="H127" s="876"/>
      <c r="I127" s="876"/>
      <c r="J127" s="876"/>
      <c r="K127" s="876"/>
      <c r="L127" s="877"/>
      <c r="M127" s="750">
        <f t="shared" si="1"/>
        <v>36200</v>
      </c>
      <c r="O127" s="853"/>
    </row>
    <row r="128" spans="1:15" s="450" customFormat="1" ht="17.25" customHeight="1" x14ac:dyDescent="0.25">
      <c r="A128" s="751" t="s">
        <v>1120</v>
      </c>
      <c r="B128" s="751"/>
      <c r="C128" s="745" t="s">
        <v>1121</v>
      </c>
      <c r="D128" s="762">
        <v>50000</v>
      </c>
      <c r="E128" s="875"/>
      <c r="F128" s="876"/>
      <c r="G128" s="876"/>
      <c r="H128" s="876"/>
      <c r="I128" s="876"/>
      <c r="J128" s="876"/>
      <c r="K128" s="876"/>
      <c r="L128" s="877"/>
      <c r="M128" s="750">
        <f t="shared" si="1"/>
        <v>50000</v>
      </c>
      <c r="O128" s="853"/>
    </row>
    <row r="129" spans="1:16" s="450" customFormat="1" ht="17.25" hidden="1" customHeight="1" x14ac:dyDescent="0.25">
      <c r="A129" s="751" t="s">
        <v>1122</v>
      </c>
      <c r="B129" s="751"/>
      <c r="C129" s="745" t="s">
        <v>1123</v>
      </c>
      <c r="D129" s="762"/>
      <c r="E129" s="875"/>
      <c r="F129" s="876"/>
      <c r="G129" s="876"/>
      <c r="H129" s="876"/>
      <c r="I129" s="876"/>
      <c r="J129" s="876"/>
      <c r="K129" s="876"/>
      <c r="L129" s="877"/>
      <c r="M129" s="750">
        <f t="shared" si="1"/>
        <v>0</v>
      </c>
      <c r="O129" s="853"/>
    </row>
    <row r="130" spans="1:16" s="450" customFormat="1" ht="17.25" customHeight="1" x14ac:dyDescent="0.25">
      <c r="A130" s="751" t="s">
        <v>1124</v>
      </c>
      <c r="B130" s="751"/>
      <c r="C130" s="745" t="s">
        <v>1125</v>
      </c>
      <c r="D130" s="762">
        <v>30000</v>
      </c>
      <c r="E130" s="875"/>
      <c r="F130" s="876"/>
      <c r="G130" s="876"/>
      <c r="H130" s="876"/>
      <c r="I130" s="876"/>
      <c r="J130" s="876"/>
      <c r="K130" s="876"/>
      <c r="L130" s="877"/>
      <c r="M130" s="750">
        <f t="shared" si="1"/>
        <v>30000</v>
      </c>
      <c r="O130" s="853"/>
    </row>
    <row r="131" spans="1:16" s="450" customFormat="1" ht="17.25" customHeight="1" x14ac:dyDescent="0.25">
      <c r="A131" s="751" t="s">
        <v>1126</v>
      </c>
      <c r="B131" s="751"/>
      <c r="C131" s="745" t="s">
        <v>1127</v>
      </c>
      <c r="D131" s="914">
        <f>72400+112444</f>
        <v>184844</v>
      </c>
      <c r="E131" s="875"/>
      <c r="F131" s="876"/>
      <c r="G131" s="876"/>
      <c r="H131" s="876"/>
      <c r="I131" s="876"/>
      <c r="J131" s="876"/>
      <c r="K131" s="876"/>
      <c r="L131" s="877"/>
      <c r="M131" s="750">
        <f t="shared" si="1"/>
        <v>184844</v>
      </c>
      <c r="O131" s="853"/>
    </row>
    <row r="132" spans="1:16" s="450" customFormat="1" ht="17.25" hidden="1" customHeight="1" x14ac:dyDescent="0.25">
      <c r="A132" s="751" t="s">
        <v>1128</v>
      </c>
      <c r="B132" s="751"/>
      <c r="C132" s="745" t="s">
        <v>1129</v>
      </c>
      <c r="D132" s="762"/>
      <c r="E132" s="875"/>
      <c r="F132" s="876"/>
      <c r="G132" s="876"/>
      <c r="H132" s="876"/>
      <c r="I132" s="876"/>
      <c r="J132" s="876"/>
      <c r="K132" s="876"/>
      <c r="L132" s="877"/>
      <c r="M132" s="750">
        <f t="shared" si="1"/>
        <v>0</v>
      </c>
      <c r="O132" s="853"/>
    </row>
    <row r="133" spans="1:16" s="450" customFormat="1" ht="17.25" hidden="1" customHeight="1" x14ac:dyDescent="0.25">
      <c r="A133" s="751" t="s">
        <v>1130</v>
      </c>
      <c r="B133" s="751"/>
      <c r="C133" s="745" t="s">
        <v>1131</v>
      </c>
      <c r="D133" s="762"/>
      <c r="E133" s="875"/>
      <c r="F133" s="876"/>
      <c r="G133" s="876"/>
      <c r="H133" s="876"/>
      <c r="I133" s="876"/>
      <c r="J133" s="876"/>
      <c r="K133" s="876"/>
      <c r="L133" s="877"/>
      <c r="M133" s="750">
        <f t="shared" si="1"/>
        <v>0</v>
      </c>
      <c r="O133" s="853"/>
    </row>
    <row r="134" spans="1:16" s="450" customFormat="1" ht="17.25" customHeight="1" x14ac:dyDescent="0.25">
      <c r="A134" s="751" t="s">
        <v>1132</v>
      </c>
      <c r="B134" s="751"/>
      <c r="C134" s="745" t="s">
        <v>1133</v>
      </c>
      <c r="D134" s="762">
        <v>60000</v>
      </c>
      <c r="E134" s="875"/>
      <c r="F134" s="876"/>
      <c r="G134" s="876"/>
      <c r="H134" s="876"/>
      <c r="I134" s="876"/>
      <c r="J134" s="876"/>
      <c r="K134" s="876"/>
      <c r="L134" s="877"/>
      <c r="M134" s="750">
        <f t="shared" si="1"/>
        <v>60000</v>
      </c>
      <c r="O134" s="853"/>
    </row>
    <row r="135" spans="1:16" s="450" customFormat="1" ht="17.25" hidden="1" customHeight="1" x14ac:dyDescent="0.25">
      <c r="A135" s="751" t="s">
        <v>1134</v>
      </c>
      <c r="B135" s="751"/>
      <c r="C135" s="745" t="s">
        <v>1135</v>
      </c>
      <c r="D135" s="762"/>
      <c r="E135" s="875"/>
      <c r="F135" s="876"/>
      <c r="G135" s="876"/>
      <c r="H135" s="876"/>
      <c r="I135" s="876"/>
      <c r="J135" s="876"/>
      <c r="K135" s="876"/>
      <c r="L135" s="877"/>
      <c r="M135" s="750">
        <f t="shared" ref="M135:M198" si="2">SUM(D135:H135)</f>
        <v>0</v>
      </c>
      <c r="O135" s="853"/>
    </row>
    <row r="136" spans="1:16" s="450" customFormat="1" ht="17.25" customHeight="1" x14ac:dyDescent="0.25">
      <c r="A136" s="751" t="s">
        <v>1136</v>
      </c>
      <c r="B136" s="751"/>
      <c r="C136" s="745" t="s">
        <v>1137</v>
      </c>
      <c r="D136" s="914">
        <f>36200+651774</f>
        <v>687974</v>
      </c>
      <c r="E136" s="875"/>
      <c r="F136" s="876"/>
      <c r="G136" s="876"/>
      <c r="H136" s="876"/>
      <c r="I136" s="876"/>
      <c r="J136" s="876"/>
      <c r="K136" s="876"/>
      <c r="L136" s="877"/>
      <c r="M136" s="750">
        <f t="shared" si="2"/>
        <v>687974</v>
      </c>
      <c r="O136" s="853"/>
    </row>
    <row r="137" spans="1:16" s="450" customFormat="1" ht="17.25" customHeight="1" x14ac:dyDescent="0.25">
      <c r="A137" s="751" t="s">
        <v>1138</v>
      </c>
      <c r="B137" s="751"/>
      <c r="C137" s="745" t="s">
        <v>1139</v>
      </c>
      <c r="D137" s="762">
        <v>127144</v>
      </c>
      <c r="E137" s="875"/>
      <c r="F137" s="876"/>
      <c r="G137" s="876"/>
      <c r="H137" s="876"/>
      <c r="I137" s="876"/>
      <c r="J137" s="876"/>
      <c r="K137" s="876"/>
      <c r="L137" s="877"/>
      <c r="M137" s="750">
        <f t="shared" si="2"/>
        <v>127144</v>
      </c>
      <c r="O137" s="853"/>
    </row>
    <row r="138" spans="1:16" s="450" customFormat="1" ht="17.25" customHeight="1" x14ac:dyDescent="0.25">
      <c r="A138" s="751" t="s">
        <v>1140</v>
      </c>
      <c r="B138" s="751"/>
      <c r="C138" s="745" t="s">
        <v>1141</v>
      </c>
      <c r="D138" s="619">
        <f>36000+402016</f>
        <v>438016</v>
      </c>
      <c r="E138" s="875"/>
      <c r="F138" s="876"/>
      <c r="G138" s="876"/>
      <c r="H138" s="876"/>
      <c r="I138" s="876"/>
      <c r="J138" s="876"/>
      <c r="K138" s="876"/>
      <c r="L138" s="877"/>
      <c r="M138" s="750">
        <f t="shared" si="2"/>
        <v>438016</v>
      </c>
      <c r="O138" s="853"/>
    </row>
    <row r="139" spans="1:16" s="450" customFormat="1" ht="17.25" customHeight="1" x14ac:dyDescent="0.25">
      <c r="A139" s="751" t="s">
        <v>1142</v>
      </c>
      <c r="B139" s="751"/>
      <c r="C139" s="745" t="s">
        <v>1143</v>
      </c>
      <c r="D139" s="619">
        <f>10000+242044</f>
        <v>252044</v>
      </c>
      <c r="E139" s="875"/>
      <c r="F139" s="876"/>
      <c r="G139" s="876"/>
      <c r="H139" s="876"/>
      <c r="I139" s="876"/>
      <c r="J139" s="876"/>
      <c r="K139" s="876"/>
      <c r="L139" s="877"/>
      <c r="M139" s="750">
        <f t="shared" si="2"/>
        <v>252044</v>
      </c>
      <c r="O139" s="853"/>
    </row>
    <row r="140" spans="1:16" s="450" customFormat="1" ht="17.25" customHeight="1" x14ac:dyDescent="0.25">
      <c r="A140" s="751" t="s">
        <v>1144</v>
      </c>
      <c r="B140" s="751"/>
      <c r="C140" s="745" t="s">
        <v>1145</v>
      </c>
      <c r="D140" s="867">
        <v>31044</v>
      </c>
      <c r="E140" s="875"/>
      <c r="F140" s="876"/>
      <c r="G140" s="876"/>
      <c r="H140" s="876"/>
      <c r="I140" s="876"/>
      <c r="J140" s="876"/>
      <c r="K140" s="876"/>
      <c r="L140" s="877"/>
      <c r="M140" s="750">
        <f t="shared" si="2"/>
        <v>31044</v>
      </c>
      <c r="O140" s="853"/>
    </row>
    <row r="141" spans="1:16" s="450" customFormat="1" ht="17.25" customHeight="1" x14ac:dyDescent="0.25">
      <c r="A141" s="751" t="s">
        <v>1146</v>
      </c>
      <c r="B141" s="751"/>
      <c r="C141" s="745" t="s">
        <v>1147</v>
      </c>
      <c r="D141" s="914">
        <f>20165+97886</f>
        <v>118051</v>
      </c>
      <c r="E141" s="875"/>
      <c r="F141" s="876"/>
      <c r="G141" s="876"/>
      <c r="H141" s="876"/>
      <c r="I141" s="876"/>
      <c r="J141" s="876"/>
      <c r="K141" s="876"/>
      <c r="L141" s="877"/>
      <c r="M141" s="750">
        <f t="shared" si="2"/>
        <v>118051</v>
      </c>
      <c r="O141" s="853"/>
    </row>
    <row r="142" spans="1:16" s="450" customFormat="1" ht="17.25" customHeight="1" x14ac:dyDescent="0.25">
      <c r="A142" s="751" t="s">
        <v>1148</v>
      </c>
      <c r="B142" s="751"/>
      <c r="C142" s="745" t="s">
        <v>1149</v>
      </c>
      <c r="D142" s="867">
        <v>50000</v>
      </c>
      <c r="E142" s="875"/>
      <c r="F142" s="876"/>
      <c r="G142" s="876"/>
      <c r="H142" s="876"/>
      <c r="I142" s="876"/>
      <c r="J142" s="876"/>
      <c r="K142" s="876"/>
      <c r="L142" s="877"/>
      <c r="M142" s="750">
        <f t="shared" si="2"/>
        <v>50000</v>
      </c>
      <c r="O142" s="853"/>
    </row>
    <row r="143" spans="1:16" s="450" customFormat="1" ht="17.25" customHeight="1" x14ac:dyDescent="0.25">
      <c r="A143" s="751"/>
      <c r="B143" s="751"/>
      <c r="C143" s="745" t="s">
        <v>168</v>
      </c>
      <c r="D143" s="914">
        <f>862753-32000-830753+379999</f>
        <v>379999</v>
      </c>
      <c r="E143" s="875"/>
      <c r="F143" s="876"/>
      <c r="G143" s="876"/>
      <c r="H143" s="876"/>
      <c r="I143" s="876"/>
      <c r="J143" s="876"/>
      <c r="K143" s="876"/>
      <c r="L143" s="877"/>
      <c r="M143" s="750">
        <f t="shared" si="2"/>
        <v>379999</v>
      </c>
      <c r="O143" s="853"/>
    </row>
    <row r="144" spans="1:16" s="450" customFormat="1" ht="197.45" customHeight="1" x14ac:dyDescent="0.25">
      <c r="A144" s="1741" t="s">
        <v>606</v>
      </c>
      <c r="B144" s="1741">
        <v>9310</v>
      </c>
      <c r="C144" s="771" t="s">
        <v>736</v>
      </c>
      <c r="D144" s="1092">
        <f>SUM(D147:D213)</f>
        <v>51852950</v>
      </c>
      <c r="E144" s="1104" t="s">
        <v>1150</v>
      </c>
      <c r="F144" s="1104" t="s">
        <v>1151</v>
      </c>
      <c r="G144" s="1812" t="s">
        <v>1152</v>
      </c>
      <c r="H144" s="1812"/>
      <c r="I144" s="1199"/>
      <c r="J144" s="1200"/>
      <c r="K144" s="1200"/>
      <c r="L144" s="1201"/>
      <c r="M144" s="750">
        <f t="shared" si="2"/>
        <v>51852950</v>
      </c>
      <c r="O144" s="860" t="b">
        <f>D144=дод3!F75</f>
        <v>1</v>
      </c>
      <c r="P144" s="861"/>
    </row>
    <row r="145" spans="1:15" s="450" customFormat="1" ht="18.75" x14ac:dyDescent="0.25">
      <c r="A145" s="1742"/>
      <c r="B145" s="1742"/>
      <c r="C145" s="772"/>
      <c r="D145" s="1093"/>
      <c r="E145" s="1813" t="s">
        <v>739</v>
      </c>
      <c r="F145" s="1814"/>
      <c r="G145" s="1814"/>
      <c r="H145" s="1815"/>
      <c r="I145" s="1184"/>
      <c r="J145" s="1185"/>
      <c r="K145" s="1185"/>
      <c r="L145" s="1186"/>
      <c r="M145" s="750">
        <v>1</v>
      </c>
      <c r="O145" s="853"/>
    </row>
    <row r="146" spans="1:15" s="450" customFormat="1" ht="18.75" customHeight="1" x14ac:dyDescent="0.3">
      <c r="A146" s="1743"/>
      <c r="B146" s="1743"/>
      <c r="C146" s="773"/>
      <c r="D146" s="1094"/>
      <c r="E146" s="1103">
        <v>7004000</v>
      </c>
      <c r="F146" s="1103">
        <f>SUM(F147:F212)</f>
        <v>43472000</v>
      </c>
      <c r="G146" s="1816">
        <f>SUM(G147:G212)</f>
        <v>1376950</v>
      </c>
      <c r="H146" s="1817"/>
      <c r="I146" s="1231"/>
      <c r="J146" s="1232"/>
      <c r="K146" s="1232"/>
      <c r="L146" s="1233"/>
      <c r="M146" s="750">
        <f t="shared" si="2"/>
        <v>51852950</v>
      </c>
      <c r="O146" s="853"/>
    </row>
    <row r="147" spans="1:15" s="450" customFormat="1" ht="17.25" hidden="1" customHeight="1" x14ac:dyDescent="0.25">
      <c r="A147" s="751" t="s">
        <v>526</v>
      </c>
      <c r="B147" s="751"/>
      <c r="C147" s="745" t="s">
        <v>1060</v>
      </c>
      <c r="D147" s="763">
        <f>E147+F147+G147</f>
        <v>0</v>
      </c>
      <c r="E147" s="870"/>
      <c r="F147" s="871"/>
      <c r="G147" s="1798"/>
      <c r="H147" s="1798"/>
      <c r="I147" s="765"/>
      <c r="J147" s="791"/>
      <c r="K147" s="791"/>
      <c r="L147" s="766"/>
      <c r="M147" s="750">
        <f t="shared" si="2"/>
        <v>0</v>
      </c>
      <c r="O147" s="853"/>
    </row>
    <row r="148" spans="1:15" s="450" customFormat="1" ht="17.25" hidden="1" customHeight="1" x14ac:dyDescent="0.25">
      <c r="A148" s="751" t="s">
        <v>527</v>
      </c>
      <c r="B148" s="751"/>
      <c r="C148" s="745" t="s">
        <v>1069</v>
      </c>
      <c r="D148" s="763">
        <f t="shared" ref="D148:D211" si="3">E148+F148+G148</f>
        <v>0</v>
      </c>
      <c r="E148" s="763"/>
      <c r="F148" s="764"/>
      <c r="G148" s="1809"/>
      <c r="H148" s="1809"/>
      <c r="I148" s="765"/>
      <c r="J148" s="791"/>
      <c r="K148" s="791"/>
      <c r="L148" s="766"/>
      <c r="M148" s="750">
        <f t="shared" si="2"/>
        <v>0</v>
      </c>
      <c r="O148" s="853"/>
    </row>
    <row r="149" spans="1:15" s="450" customFormat="1" ht="17.25" hidden="1" customHeight="1" x14ac:dyDescent="0.25">
      <c r="A149" s="751" t="s">
        <v>528</v>
      </c>
      <c r="B149" s="751"/>
      <c r="C149" s="745" t="s">
        <v>1070</v>
      </c>
      <c r="D149" s="763">
        <f t="shared" si="3"/>
        <v>0</v>
      </c>
      <c r="E149" s="763"/>
      <c r="F149" s="764"/>
      <c r="G149" s="1809"/>
      <c r="H149" s="1809"/>
      <c r="I149" s="765"/>
      <c r="J149" s="791"/>
      <c r="K149" s="791"/>
      <c r="L149" s="766"/>
      <c r="M149" s="750">
        <f t="shared" si="2"/>
        <v>0</v>
      </c>
      <c r="O149" s="853"/>
    </row>
    <row r="150" spans="1:15" s="450" customFormat="1" ht="17.25" hidden="1" customHeight="1" x14ac:dyDescent="0.25">
      <c r="A150" s="751" t="s">
        <v>529</v>
      </c>
      <c r="B150" s="751"/>
      <c r="C150" s="745" t="s">
        <v>1071</v>
      </c>
      <c r="D150" s="763">
        <f t="shared" si="3"/>
        <v>0</v>
      </c>
      <c r="E150" s="763"/>
      <c r="F150" s="764"/>
      <c r="G150" s="1809"/>
      <c r="H150" s="1809"/>
      <c r="I150" s="765"/>
      <c r="J150" s="791"/>
      <c r="K150" s="791"/>
      <c r="L150" s="766"/>
      <c r="M150" s="750">
        <f t="shared" si="2"/>
        <v>0</v>
      </c>
      <c r="O150" s="853"/>
    </row>
    <row r="151" spans="1:15" s="450" customFormat="1" ht="17.25" hidden="1" customHeight="1" x14ac:dyDescent="0.25">
      <c r="A151" s="751" t="s">
        <v>530</v>
      </c>
      <c r="B151" s="751"/>
      <c r="C151" s="745" t="s">
        <v>1072</v>
      </c>
      <c r="D151" s="763">
        <f t="shared" si="3"/>
        <v>0</v>
      </c>
      <c r="E151" s="868"/>
      <c r="F151" s="869"/>
      <c r="G151" s="1786"/>
      <c r="H151" s="1786"/>
      <c r="I151" s="765"/>
      <c r="J151" s="791"/>
      <c r="K151" s="791"/>
      <c r="L151" s="766"/>
      <c r="M151" s="750">
        <f t="shared" si="2"/>
        <v>0</v>
      </c>
      <c r="O151" s="853"/>
    </row>
    <row r="152" spans="1:15" s="450" customFormat="1" ht="17.25" customHeight="1" x14ac:dyDescent="0.25">
      <c r="A152" s="751" t="s">
        <v>531</v>
      </c>
      <c r="B152" s="751"/>
      <c r="C152" s="745" t="s">
        <v>1073</v>
      </c>
      <c r="D152" s="914">
        <f t="shared" si="3"/>
        <v>1499000</v>
      </c>
      <c r="E152" s="621"/>
      <c r="F152" s="621">
        <v>1499000</v>
      </c>
      <c r="G152" s="1810"/>
      <c r="H152" s="1810"/>
      <c r="I152" s="765"/>
      <c r="J152" s="791"/>
      <c r="K152" s="791"/>
      <c r="L152" s="766"/>
      <c r="M152" s="750">
        <f t="shared" si="2"/>
        <v>2998000</v>
      </c>
      <c r="O152" s="853"/>
    </row>
    <row r="153" spans="1:15" s="450" customFormat="1" ht="17.25" hidden="1" customHeight="1" x14ac:dyDescent="0.25">
      <c r="A153" s="751" t="s">
        <v>532</v>
      </c>
      <c r="B153" s="751"/>
      <c r="C153" s="745" t="s">
        <v>1074</v>
      </c>
      <c r="D153" s="763">
        <f t="shared" si="3"/>
        <v>0</v>
      </c>
      <c r="E153" s="870"/>
      <c r="F153" s="767"/>
      <c r="G153" s="1798"/>
      <c r="H153" s="1798"/>
      <c r="I153" s="765"/>
      <c r="J153" s="791"/>
      <c r="K153" s="791"/>
      <c r="L153" s="766"/>
      <c r="M153" s="750">
        <f t="shared" si="2"/>
        <v>0</v>
      </c>
      <c r="O153" s="853"/>
    </row>
    <row r="154" spans="1:15" s="450" customFormat="1" ht="17.25" hidden="1" customHeight="1" x14ac:dyDescent="0.25">
      <c r="A154" s="751" t="s">
        <v>533</v>
      </c>
      <c r="B154" s="751"/>
      <c r="C154" s="745" t="s">
        <v>1075</v>
      </c>
      <c r="D154" s="763">
        <f t="shared" si="3"/>
        <v>0</v>
      </c>
      <c r="E154" s="763"/>
      <c r="F154" s="762"/>
      <c r="G154" s="1809"/>
      <c r="H154" s="1809"/>
      <c r="I154" s="765"/>
      <c r="J154" s="791"/>
      <c r="K154" s="791"/>
      <c r="L154" s="766"/>
      <c r="M154" s="750">
        <f t="shared" si="2"/>
        <v>0</v>
      </c>
      <c r="O154" s="853"/>
    </row>
    <row r="155" spans="1:15" s="450" customFormat="1" ht="17.25" hidden="1" customHeight="1" x14ac:dyDescent="0.25">
      <c r="A155" s="751" t="s">
        <v>534</v>
      </c>
      <c r="B155" s="751"/>
      <c r="C155" s="745" t="s">
        <v>1076</v>
      </c>
      <c r="D155" s="763">
        <f t="shared" si="3"/>
        <v>0</v>
      </c>
      <c r="E155" s="763"/>
      <c r="F155" s="762"/>
      <c r="G155" s="1809"/>
      <c r="H155" s="1809"/>
      <c r="I155" s="765"/>
      <c r="J155" s="791"/>
      <c r="K155" s="791"/>
      <c r="L155" s="766"/>
      <c r="M155" s="750">
        <f t="shared" si="2"/>
        <v>0</v>
      </c>
      <c r="O155" s="853"/>
    </row>
    <row r="156" spans="1:15" s="450" customFormat="1" ht="17.25" hidden="1" customHeight="1" x14ac:dyDescent="0.25">
      <c r="A156" s="751" t="s">
        <v>535</v>
      </c>
      <c r="B156" s="751"/>
      <c r="C156" s="745" t="s">
        <v>1077</v>
      </c>
      <c r="D156" s="763">
        <f t="shared" si="3"/>
        <v>0</v>
      </c>
      <c r="E156" s="763"/>
      <c r="F156" s="762"/>
      <c r="G156" s="1809"/>
      <c r="H156" s="1809"/>
      <c r="I156" s="765"/>
      <c r="J156" s="791"/>
      <c r="K156" s="791"/>
      <c r="L156" s="766"/>
      <c r="M156" s="750">
        <f t="shared" si="2"/>
        <v>0</v>
      </c>
      <c r="O156" s="853"/>
    </row>
    <row r="157" spans="1:15" s="450" customFormat="1" ht="17.25" hidden="1" customHeight="1" x14ac:dyDescent="0.25">
      <c r="A157" s="751" t="s">
        <v>536</v>
      </c>
      <c r="B157" s="751"/>
      <c r="C157" s="745" t="s">
        <v>1078</v>
      </c>
      <c r="D157" s="763">
        <f t="shared" si="3"/>
        <v>0</v>
      </c>
      <c r="E157" s="868"/>
      <c r="F157" s="864"/>
      <c r="G157" s="1786"/>
      <c r="H157" s="1786"/>
      <c r="I157" s="765"/>
      <c r="J157" s="791"/>
      <c r="K157" s="791"/>
      <c r="L157" s="766"/>
      <c r="M157" s="750">
        <f t="shared" si="2"/>
        <v>0</v>
      </c>
      <c r="O157" s="853"/>
    </row>
    <row r="158" spans="1:15" s="450" customFormat="1" ht="17.25" customHeight="1" x14ac:dyDescent="0.25">
      <c r="A158" s="751" t="s">
        <v>537</v>
      </c>
      <c r="B158" s="751"/>
      <c r="C158" s="745" t="s">
        <v>1079</v>
      </c>
      <c r="D158" s="914">
        <f t="shared" si="3"/>
        <v>1499000</v>
      </c>
      <c r="E158" s="621"/>
      <c r="F158" s="621">
        <v>1499000</v>
      </c>
      <c r="G158" s="1810"/>
      <c r="H158" s="1810"/>
      <c r="I158" s="765"/>
      <c r="J158" s="791"/>
      <c r="K158" s="791"/>
      <c r="L158" s="766"/>
      <c r="M158" s="750">
        <f t="shared" si="2"/>
        <v>2998000</v>
      </c>
      <c r="O158" s="853"/>
    </row>
    <row r="159" spans="1:15" s="450" customFormat="1" ht="17.25" customHeight="1" x14ac:dyDescent="0.25">
      <c r="A159" s="751" t="s">
        <v>538</v>
      </c>
      <c r="B159" s="751"/>
      <c r="C159" s="745" t="s">
        <v>1080</v>
      </c>
      <c r="D159" s="914">
        <f t="shared" si="3"/>
        <v>1499000</v>
      </c>
      <c r="E159" s="621"/>
      <c r="F159" s="621">
        <v>1499000</v>
      </c>
      <c r="G159" s="1810"/>
      <c r="H159" s="1810"/>
      <c r="I159" s="765"/>
      <c r="J159" s="791"/>
      <c r="K159" s="791"/>
      <c r="L159" s="766"/>
      <c r="M159" s="750">
        <f t="shared" si="2"/>
        <v>2998000</v>
      </c>
      <c r="O159" s="853"/>
    </row>
    <row r="160" spans="1:15" s="450" customFormat="1" ht="17.25" customHeight="1" x14ac:dyDescent="0.25">
      <c r="A160" s="751" t="s">
        <v>539</v>
      </c>
      <c r="B160" s="751"/>
      <c r="C160" s="745" t="s">
        <v>1081</v>
      </c>
      <c r="D160" s="914">
        <f t="shared" si="3"/>
        <v>1499000</v>
      </c>
      <c r="E160" s="621"/>
      <c r="F160" s="621">
        <v>1499000</v>
      </c>
      <c r="G160" s="1810"/>
      <c r="H160" s="1810"/>
      <c r="I160" s="765"/>
      <c r="J160" s="791"/>
      <c r="K160" s="791"/>
      <c r="L160" s="766"/>
      <c r="M160" s="750">
        <f t="shared" si="2"/>
        <v>2998000</v>
      </c>
      <c r="O160" s="853"/>
    </row>
    <row r="161" spans="1:15" s="450" customFormat="1" ht="17.25" customHeight="1" x14ac:dyDescent="0.25">
      <c r="A161" s="751" t="s">
        <v>540</v>
      </c>
      <c r="B161" s="751"/>
      <c r="C161" s="745" t="s">
        <v>1082</v>
      </c>
      <c r="D161" s="914">
        <f t="shared" si="3"/>
        <v>1499000</v>
      </c>
      <c r="E161" s="621"/>
      <c r="F161" s="621">
        <v>1499000</v>
      </c>
      <c r="G161" s="1810"/>
      <c r="H161" s="1810"/>
      <c r="I161" s="765"/>
      <c r="J161" s="791"/>
      <c r="K161" s="791"/>
      <c r="L161" s="766"/>
      <c r="M161" s="750">
        <f t="shared" si="2"/>
        <v>2998000</v>
      </c>
      <c r="O161" s="853"/>
    </row>
    <row r="162" spans="1:15" s="450" customFormat="1" ht="17.25" customHeight="1" x14ac:dyDescent="0.25">
      <c r="A162" s="751" t="s">
        <v>541</v>
      </c>
      <c r="B162" s="751"/>
      <c r="C162" s="745" t="s">
        <v>1083</v>
      </c>
      <c r="D162" s="914">
        <f t="shared" si="3"/>
        <v>1499000</v>
      </c>
      <c r="E162" s="621"/>
      <c r="F162" s="621">
        <v>1499000</v>
      </c>
      <c r="G162" s="1810"/>
      <c r="H162" s="1810"/>
      <c r="I162" s="765"/>
      <c r="J162" s="791"/>
      <c r="K162" s="791"/>
      <c r="L162" s="766"/>
      <c r="M162" s="750">
        <f t="shared" si="2"/>
        <v>2998000</v>
      </c>
      <c r="O162" s="853"/>
    </row>
    <row r="163" spans="1:15" s="450" customFormat="1" ht="17.25" customHeight="1" x14ac:dyDescent="0.25">
      <c r="A163" s="751" t="s">
        <v>542</v>
      </c>
      <c r="B163" s="751"/>
      <c r="C163" s="745" t="s">
        <v>1084</v>
      </c>
      <c r="D163" s="914">
        <f t="shared" si="3"/>
        <v>1499000</v>
      </c>
      <c r="E163" s="621"/>
      <c r="F163" s="621">
        <v>1499000</v>
      </c>
      <c r="G163" s="1810"/>
      <c r="H163" s="1810"/>
      <c r="I163" s="765"/>
      <c r="J163" s="791"/>
      <c r="K163" s="791"/>
      <c r="L163" s="766"/>
      <c r="M163" s="750">
        <f t="shared" si="2"/>
        <v>2998000</v>
      </c>
      <c r="O163" s="853"/>
    </row>
    <row r="164" spans="1:15" s="450" customFormat="1" ht="17.25" hidden="1" customHeight="1" x14ac:dyDescent="0.25">
      <c r="A164" s="751" t="s">
        <v>543</v>
      </c>
      <c r="B164" s="751"/>
      <c r="C164" s="745" t="s">
        <v>1085</v>
      </c>
      <c r="D164" s="762">
        <f t="shared" si="3"/>
        <v>0</v>
      </c>
      <c r="E164" s="872"/>
      <c r="F164" s="873"/>
      <c r="G164" s="1821"/>
      <c r="H164" s="1821"/>
      <c r="I164" s="765"/>
      <c r="J164" s="791"/>
      <c r="K164" s="791"/>
      <c r="L164" s="766"/>
      <c r="M164" s="750">
        <f t="shared" si="2"/>
        <v>0</v>
      </c>
      <c r="O164" s="853"/>
    </row>
    <row r="165" spans="1:15" s="450" customFormat="1" ht="17.25" customHeight="1" x14ac:dyDescent="0.25">
      <c r="A165" s="751" t="s">
        <v>544</v>
      </c>
      <c r="B165" s="751"/>
      <c r="C165" s="745" t="s">
        <v>1086</v>
      </c>
      <c r="D165" s="914">
        <f t="shared" si="3"/>
        <v>1499000</v>
      </c>
      <c r="E165" s="621"/>
      <c r="F165" s="621">
        <v>1499000</v>
      </c>
      <c r="G165" s="1810"/>
      <c r="H165" s="1810"/>
      <c r="I165" s="765"/>
      <c r="J165" s="791"/>
      <c r="K165" s="791"/>
      <c r="L165" s="766"/>
      <c r="M165" s="750">
        <f t="shared" si="2"/>
        <v>2998000</v>
      </c>
      <c r="O165" s="853"/>
    </row>
    <row r="166" spans="1:15" s="450" customFormat="1" ht="17.25" hidden="1" customHeight="1" x14ac:dyDescent="0.25">
      <c r="A166" s="751" t="s">
        <v>545</v>
      </c>
      <c r="B166" s="751"/>
      <c r="C166" s="745" t="s">
        <v>1087</v>
      </c>
      <c r="D166" s="762">
        <f t="shared" si="3"/>
        <v>0</v>
      </c>
      <c r="E166" s="870"/>
      <c r="F166" s="767"/>
      <c r="G166" s="1798"/>
      <c r="H166" s="1798"/>
      <c r="I166" s="765"/>
      <c r="J166" s="791"/>
      <c r="K166" s="791"/>
      <c r="L166" s="766"/>
      <c r="M166" s="750">
        <f t="shared" si="2"/>
        <v>0</v>
      </c>
      <c r="O166" s="853"/>
    </row>
    <row r="167" spans="1:15" s="450" customFormat="1" ht="17.25" hidden="1" customHeight="1" x14ac:dyDescent="0.25">
      <c r="A167" s="751" t="s">
        <v>546</v>
      </c>
      <c r="B167" s="751"/>
      <c r="C167" s="745" t="s">
        <v>1088</v>
      </c>
      <c r="D167" s="762">
        <f t="shared" si="3"/>
        <v>0</v>
      </c>
      <c r="E167" s="763"/>
      <c r="F167" s="762"/>
      <c r="G167" s="1809"/>
      <c r="H167" s="1809"/>
      <c r="I167" s="765"/>
      <c r="J167" s="791"/>
      <c r="K167" s="791"/>
      <c r="L167" s="766"/>
      <c r="M167" s="750">
        <f t="shared" si="2"/>
        <v>0</v>
      </c>
      <c r="O167" s="853"/>
    </row>
    <row r="168" spans="1:15" s="450" customFormat="1" ht="17.25" hidden="1" customHeight="1" x14ac:dyDescent="0.25">
      <c r="A168" s="751" t="s">
        <v>547</v>
      </c>
      <c r="B168" s="751"/>
      <c r="C168" s="745" t="s">
        <v>1089</v>
      </c>
      <c r="D168" s="762">
        <f t="shared" si="3"/>
        <v>0</v>
      </c>
      <c r="E168" s="763"/>
      <c r="F168" s="762"/>
      <c r="G168" s="1809"/>
      <c r="H168" s="1809"/>
      <c r="I168" s="765"/>
      <c r="J168" s="791"/>
      <c r="K168" s="791"/>
      <c r="L168" s="766"/>
      <c r="M168" s="750">
        <f t="shared" si="2"/>
        <v>0</v>
      </c>
      <c r="O168" s="853"/>
    </row>
    <row r="169" spans="1:15" s="450" customFormat="1" ht="17.25" hidden="1" customHeight="1" x14ac:dyDescent="0.25">
      <c r="A169" s="751" t="s">
        <v>548</v>
      </c>
      <c r="B169" s="751"/>
      <c r="C169" s="745" t="s">
        <v>1090</v>
      </c>
      <c r="D169" s="762">
        <f t="shared" si="3"/>
        <v>0</v>
      </c>
      <c r="E169" s="763"/>
      <c r="F169" s="762"/>
      <c r="G169" s="1809"/>
      <c r="H169" s="1809"/>
      <c r="I169" s="765"/>
      <c r="J169" s="791"/>
      <c r="K169" s="791"/>
      <c r="L169" s="766"/>
      <c r="M169" s="750">
        <f t="shared" si="2"/>
        <v>0</v>
      </c>
      <c r="O169" s="853"/>
    </row>
    <row r="170" spans="1:15" s="450" customFormat="1" ht="17.25" hidden="1" customHeight="1" x14ac:dyDescent="0.25">
      <c r="A170" s="751" t="s">
        <v>549</v>
      </c>
      <c r="B170" s="751"/>
      <c r="C170" s="745" t="s">
        <v>1091</v>
      </c>
      <c r="D170" s="762">
        <f t="shared" si="3"/>
        <v>0</v>
      </c>
      <c r="E170" s="763"/>
      <c r="F170" s="762"/>
      <c r="G170" s="1809"/>
      <c r="H170" s="1809"/>
      <c r="I170" s="765"/>
      <c r="J170" s="791"/>
      <c r="K170" s="791"/>
      <c r="L170" s="766"/>
      <c r="M170" s="750">
        <f t="shared" si="2"/>
        <v>0</v>
      </c>
      <c r="O170" s="853"/>
    </row>
    <row r="171" spans="1:15" s="450" customFormat="1" ht="17.25" hidden="1" customHeight="1" x14ac:dyDescent="0.25">
      <c r="A171" s="751" t="s">
        <v>550</v>
      </c>
      <c r="B171" s="751"/>
      <c r="C171" s="745" t="s">
        <v>1092</v>
      </c>
      <c r="D171" s="762">
        <f t="shared" si="3"/>
        <v>0</v>
      </c>
      <c r="E171" s="763"/>
      <c r="F171" s="762"/>
      <c r="G171" s="1809"/>
      <c r="H171" s="1809"/>
      <c r="I171" s="765"/>
      <c r="J171" s="791"/>
      <c r="K171" s="791"/>
      <c r="L171" s="766"/>
      <c r="M171" s="750">
        <f t="shared" si="2"/>
        <v>0</v>
      </c>
      <c r="O171" s="853"/>
    </row>
    <row r="172" spans="1:15" s="450" customFormat="1" ht="17.25" hidden="1" customHeight="1" x14ac:dyDescent="0.25">
      <c r="A172" s="751" t="s">
        <v>551</v>
      </c>
      <c r="B172" s="751"/>
      <c r="C172" s="745" t="s">
        <v>1093</v>
      </c>
      <c r="D172" s="762">
        <f t="shared" si="3"/>
        <v>0</v>
      </c>
      <c r="E172" s="763"/>
      <c r="F172" s="762"/>
      <c r="G172" s="1809"/>
      <c r="H172" s="1809"/>
      <c r="I172" s="765"/>
      <c r="J172" s="791"/>
      <c r="K172" s="791"/>
      <c r="L172" s="766"/>
      <c r="M172" s="750">
        <f t="shared" si="2"/>
        <v>0</v>
      </c>
      <c r="O172" s="853"/>
    </row>
    <row r="173" spans="1:15" s="450" customFormat="1" ht="17.25" hidden="1" customHeight="1" x14ac:dyDescent="0.25">
      <c r="A173" s="751" t="s">
        <v>552</v>
      </c>
      <c r="B173" s="751"/>
      <c r="C173" s="745" t="s">
        <v>1094</v>
      </c>
      <c r="D173" s="762">
        <f t="shared" si="3"/>
        <v>0</v>
      </c>
      <c r="E173" s="763"/>
      <c r="F173" s="762"/>
      <c r="G173" s="1809"/>
      <c r="H173" s="1809"/>
      <c r="I173" s="765"/>
      <c r="J173" s="791"/>
      <c r="K173" s="791"/>
      <c r="L173" s="766"/>
      <c r="M173" s="750">
        <f t="shared" si="2"/>
        <v>0</v>
      </c>
      <c r="O173" s="853"/>
    </row>
    <row r="174" spans="1:15" s="450" customFormat="1" ht="17.25" hidden="1" customHeight="1" x14ac:dyDescent="0.25">
      <c r="A174" s="751" t="s">
        <v>553</v>
      </c>
      <c r="B174" s="751"/>
      <c r="C174" s="745" t="s">
        <v>1095</v>
      </c>
      <c r="D174" s="762">
        <f t="shared" si="3"/>
        <v>0</v>
      </c>
      <c r="E174" s="868"/>
      <c r="F174" s="864"/>
      <c r="G174" s="1786"/>
      <c r="H174" s="1786"/>
      <c r="I174" s="765"/>
      <c r="J174" s="791"/>
      <c r="K174" s="791"/>
      <c r="L174" s="766"/>
      <c r="M174" s="750">
        <f t="shared" si="2"/>
        <v>0</v>
      </c>
      <c r="O174" s="853"/>
    </row>
    <row r="175" spans="1:15" s="450" customFormat="1" ht="17.25" customHeight="1" x14ac:dyDescent="0.25">
      <c r="A175" s="751" t="s">
        <v>554</v>
      </c>
      <c r="B175" s="751"/>
      <c r="C175" s="745" t="s">
        <v>1096</v>
      </c>
      <c r="D175" s="914">
        <f t="shared" si="3"/>
        <v>1220400</v>
      </c>
      <c r="E175" s="621"/>
      <c r="F175" s="621"/>
      <c r="G175" s="1794">
        <v>1220400</v>
      </c>
      <c r="H175" s="1795"/>
      <c r="I175" s="765"/>
      <c r="J175" s="791"/>
      <c r="K175" s="791"/>
      <c r="L175" s="766"/>
      <c r="M175" s="750">
        <f t="shared" si="2"/>
        <v>2440800</v>
      </c>
      <c r="O175" s="853"/>
    </row>
    <row r="176" spans="1:15" s="450" customFormat="1" ht="17.25" customHeight="1" x14ac:dyDescent="0.25">
      <c r="A176" s="751" t="s">
        <v>555</v>
      </c>
      <c r="B176" s="751"/>
      <c r="C176" s="745" t="s">
        <v>1097</v>
      </c>
      <c r="D176" s="914">
        <f t="shared" si="3"/>
        <v>1499000</v>
      </c>
      <c r="E176" s="621"/>
      <c r="F176" s="621">
        <v>1499000</v>
      </c>
      <c r="G176" s="1796"/>
      <c r="H176" s="1797"/>
      <c r="I176" s="765"/>
      <c r="J176" s="791"/>
      <c r="K176" s="791"/>
      <c r="L176" s="766"/>
      <c r="M176" s="750">
        <f t="shared" si="2"/>
        <v>2998000</v>
      </c>
      <c r="O176" s="853"/>
    </row>
    <row r="177" spans="1:15" s="450" customFormat="1" ht="17.25" hidden="1" customHeight="1" x14ac:dyDescent="0.25">
      <c r="A177" s="751" t="s">
        <v>556</v>
      </c>
      <c r="B177" s="751"/>
      <c r="C177" s="745" t="s">
        <v>1098</v>
      </c>
      <c r="D177" s="762">
        <f t="shared" si="3"/>
        <v>0</v>
      </c>
      <c r="E177" s="872"/>
      <c r="F177" s="873"/>
      <c r="G177" s="1807"/>
      <c r="H177" s="1808"/>
      <c r="I177" s="765"/>
      <c r="J177" s="791"/>
      <c r="K177" s="791"/>
      <c r="L177" s="766"/>
      <c r="M177" s="750">
        <f t="shared" si="2"/>
        <v>0</v>
      </c>
      <c r="O177" s="853"/>
    </row>
    <row r="178" spans="1:15" s="450" customFormat="1" ht="17.25" customHeight="1" x14ac:dyDescent="0.25">
      <c r="A178" s="751" t="s">
        <v>557</v>
      </c>
      <c r="B178" s="751"/>
      <c r="C178" s="745" t="s">
        <v>1099</v>
      </c>
      <c r="D178" s="914">
        <f t="shared" si="3"/>
        <v>1499000</v>
      </c>
      <c r="E178" s="621"/>
      <c r="F178" s="621">
        <v>1499000</v>
      </c>
      <c r="G178" s="1796"/>
      <c r="H178" s="1797"/>
      <c r="I178" s="765"/>
      <c r="J178" s="791"/>
      <c r="K178" s="791"/>
      <c r="L178" s="766"/>
      <c r="M178" s="750">
        <f t="shared" si="2"/>
        <v>2998000</v>
      </c>
      <c r="O178" s="853"/>
    </row>
    <row r="179" spans="1:15" s="450" customFormat="1" ht="17.25" customHeight="1" x14ac:dyDescent="0.25">
      <c r="A179" s="751" t="s">
        <v>558</v>
      </c>
      <c r="B179" s="751"/>
      <c r="C179" s="745" t="s">
        <v>1100</v>
      </c>
      <c r="D179" s="914">
        <f t="shared" si="3"/>
        <v>1499000</v>
      </c>
      <c r="E179" s="621"/>
      <c r="F179" s="621">
        <v>1499000</v>
      </c>
      <c r="G179" s="1796"/>
      <c r="H179" s="1797"/>
      <c r="I179" s="765"/>
      <c r="J179" s="791"/>
      <c r="K179" s="791"/>
      <c r="L179" s="766"/>
      <c r="M179" s="750">
        <f t="shared" si="2"/>
        <v>2998000</v>
      </c>
      <c r="O179" s="853"/>
    </row>
    <row r="180" spans="1:15" s="450" customFormat="1" ht="17.25" hidden="1" customHeight="1" x14ac:dyDescent="0.25">
      <c r="A180" s="751" t="s">
        <v>559</v>
      </c>
      <c r="B180" s="751"/>
      <c r="C180" s="745" t="s">
        <v>1101</v>
      </c>
      <c r="D180" s="762">
        <f t="shared" si="3"/>
        <v>0</v>
      </c>
      <c r="E180" s="870"/>
      <c r="F180" s="767"/>
      <c r="G180" s="1801"/>
      <c r="H180" s="1802"/>
      <c r="I180" s="765"/>
      <c r="J180" s="791"/>
      <c r="K180" s="791"/>
      <c r="L180" s="766"/>
      <c r="M180" s="750">
        <f t="shared" si="2"/>
        <v>0</v>
      </c>
      <c r="O180" s="853"/>
    </row>
    <row r="181" spans="1:15" s="450" customFormat="1" ht="17.25" hidden="1" customHeight="1" x14ac:dyDescent="0.25">
      <c r="A181" s="751" t="s">
        <v>560</v>
      </c>
      <c r="B181" s="751"/>
      <c r="C181" s="745" t="s">
        <v>1102</v>
      </c>
      <c r="D181" s="762">
        <f t="shared" si="3"/>
        <v>0</v>
      </c>
      <c r="E181" s="763"/>
      <c r="F181" s="762"/>
      <c r="G181" s="1803"/>
      <c r="H181" s="1804"/>
      <c r="I181" s="765"/>
      <c r="J181" s="791"/>
      <c r="K181" s="791"/>
      <c r="L181" s="766"/>
      <c r="M181" s="750">
        <f t="shared" si="2"/>
        <v>0</v>
      </c>
      <c r="O181" s="853"/>
    </row>
    <row r="182" spans="1:15" s="450" customFormat="1" ht="17.25" hidden="1" customHeight="1" x14ac:dyDescent="0.25">
      <c r="A182" s="751" t="s">
        <v>561</v>
      </c>
      <c r="B182" s="751"/>
      <c r="C182" s="745" t="s">
        <v>1103</v>
      </c>
      <c r="D182" s="762">
        <f t="shared" si="3"/>
        <v>0</v>
      </c>
      <c r="E182" s="868"/>
      <c r="F182" s="864"/>
      <c r="G182" s="1805"/>
      <c r="H182" s="1806"/>
      <c r="I182" s="765"/>
      <c r="J182" s="791"/>
      <c r="K182" s="791"/>
      <c r="L182" s="766"/>
      <c r="M182" s="750">
        <f t="shared" si="2"/>
        <v>0</v>
      </c>
      <c r="O182" s="853"/>
    </row>
    <row r="183" spans="1:15" s="450" customFormat="1" ht="17.25" customHeight="1" x14ac:dyDescent="0.25">
      <c r="A183" s="751" t="s">
        <v>562</v>
      </c>
      <c r="B183" s="751"/>
      <c r="C183" s="745" t="s">
        <v>1104</v>
      </c>
      <c r="D183" s="914">
        <f t="shared" si="3"/>
        <v>1499000</v>
      </c>
      <c r="E183" s="621"/>
      <c r="F183" s="621">
        <v>1499000</v>
      </c>
      <c r="G183" s="1796"/>
      <c r="H183" s="1797"/>
      <c r="I183" s="765"/>
      <c r="J183" s="791"/>
      <c r="K183" s="791"/>
      <c r="L183" s="766"/>
      <c r="M183" s="750">
        <f t="shared" si="2"/>
        <v>2998000</v>
      </c>
      <c r="O183" s="853"/>
    </row>
    <row r="184" spans="1:15" s="450" customFormat="1" ht="17.25" hidden="1" customHeight="1" x14ac:dyDescent="0.25">
      <c r="A184" s="751" t="s">
        <v>563</v>
      </c>
      <c r="B184" s="751"/>
      <c r="C184" s="745" t="s">
        <v>1105</v>
      </c>
      <c r="D184" s="762">
        <f t="shared" si="3"/>
        <v>0</v>
      </c>
      <c r="E184" s="872"/>
      <c r="F184" s="873"/>
      <c r="G184" s="1807"/>
      <c r="H184" s="1808"/>
      <c r="I184" s="765"/>
      <c r="J184" s="791"/>
      <c r="K184" s="791"/>
      <c r="L184" s="766"/>
      <c r="M184" s="750">
        <f t="shared" si="2"/>
        <v>0</v>
      </c>
      <c r="O184" s="853"/>
    </row>
    <row r="185" spans="1:15" s="450" customFormat="1" ht="17.25" customHeight="1" x14ac:dyDescent="0.25">
      <c r="A185" s="751" t="s">
        <v>564</v>
      </c>
      <c r="B185" s="751"/>
      <c r="C185" s="745" t="s">
        <v>1106</v>
      </c>
      <c r="D185" s="914">
        <f t="shared" si="3"/>
        <v>1499000</v>
      </c>
      <c r="E185" s="621"/>
      <c r="F185" s="621">
        <v>1499000</v>
      </c>
      <c r="G185" s="1796"/>
      <c r="H185" s="1797"/>
      <c r="I185" s="765"/>
      <c r="J185" s="791"/>
      <c r="K185" s="791"/>
      <c r="L185" s="766"/>
      <c r="M185" s="750">
        <f t="shared" si="2"/>
        <v>2998000</v>
      </c>
      <c r="O185" s="853"/>
    </row>
    <row r="186" spans="1:15" s="450" customFormat="1" ht="17.25" customHeight="1" x14ac:dyDescent="0.25">
      <c r="A186" s="751" t="s">
        <v>565</v>
      </c>
      <c r="B186" s="751"/>
      <c r="C186" s="745" t="s">
        <v>1107</v>
      </c>
      <c r="D186" s="914">
        <f t="shared" si="3"/>
        <v>1499000</v>
      </c>
      <c r="E186" s="621"/>
      <c r="F186" s="621">
        <v>1499000</v>
      </c>
      <c r="G186" s="1796"/>
      <c r="H186" s="1797"/>
      <c r="I186" s="765"/>
      <c r="J186" s="791"/>
      <c r="K186" s="791"/>
      <c r="L186" s="766"/>
      <c r="M186" s="750">
        <f t="shared" si="2"/>
        <v>2998000</v>
      </c>
      <c r="O186" s="853"/>
    </row>
    <row r="187" spans="1:15" s="450" customFormat="1" ht="17.25" hidden="1" customHeight="1" x14ac:dyDescent="0.25">
      <c r="A187" s="751" t="s">
        <v>566</v>
      </c>
      <c r="B187" s="751"/>
      <c r="C187" s="745" t="s">
        <v>1108</v>
      </c>
      <c r="D187" s="762">
        <f t="shared" si="3"/>
        <v>0</v>
      </c>
      <c r="E187" s="870"/>
      <c r="F187" s="767"/>
      <c r="G187" s="1801"/>
      <c r="H187" s="1802"/>
      <c r="I187" s="765"/>
      <c r="J187" s="791"/>
      <c r="K187" s="791"/>
      <c r="L187" s="766"/>
      <c r="M187" s="750">
        <f t="shared" si="2"/>
        <v>0</v>
      </c>
      <c r="O187" s="853"/>
    </row>
    <row r="188" spans="1:15" s="450" customFormat="1" ht="17.25" hidden="1" customHeight="1" x14ac:dyDescent="0.25">
      <c r="A188" s="751" t="s">
        <v>567</v>
      </c>
      <c r="B188" s="751"/>
      <c r="C188" s="745" t="s">
        <v>1109</v>
      </c>
      <c r="D188" s="762">
        <f t="shared" si="3"/>
        <v>0</v>
      </c>
      <c r="E188" s="763"/>
      <c r="F188" s="762"/>
      <c r="G188" s="1803"/>
      <c r="H188" s="1804"/>
      <c r="I188" s="765"/>
      <c r="J188" s="791"/>
      <c r="K188" s="791"/>
      <c r="L188" s="766"/>
      <c r="M188" s="750">
        <f t="shared" si="2"/>
        <v>0</v>
      </c>
      <c r="O188" s="853"/>
    </row>
    <row r="189" spans="1:15" s="450" customFormat="1" ht="17.25" hidden="1" customHeight="1" x14ac:dyDescent="0.25">
      <c r="A189" s="751" t="s">
        <v>780</v>
      </c>
      <c r="B189" s="751"/>
      <c r="C189" s="745" t="s">
        <v>1110</v>
      </c>
      <c r="D189" s="762">
        <f t="shared" si="3"/>
        <v>0</v>
      </c>
      <c r="E189" s="763"/>
      <c r="F189" s="762"/>
      <c r="G189" s="1803"/>
      <c r="H189" s="1804"/>
      <c r="I189" s="765"/>
      <c r="J189" s="791"/>
      <c r="K189" s="791"/>
      <c r="L189" s="766"/>
      <c r="M189" s="750">
        <f t="shared" si="2"/>
        <v>0</v>
      </c>
      <c r="O189" s="853"/>
    </row>
    <row r="190" spans="1:15" s="450" customFormat="1" ht="17.25" hidden="1" customHeight="1" x14ac:dyDescent="0.25">
      <c r="A190" s="751" t="s">
        <v>781</v>
      </c>
      <c r="B190" s="751"/>
      <c r="C190" s="745" t="s">
        <v>1111</v>
      </c>
      <c r="D190" s="762">
        <f t="shared" si="3"/>
        <v>0</v>
      </c>
      <c r="E190" s="763"/>
      <c r="F190" s="762"/>
      <c r="G190" s="1803"/>
      <c r="H190" s="1804"/>
      <c r="I190" s="765"/>
      <c r="J190" s="791"/>
      <c r="K190" s="791"/>
      <c r="L190" s="766"/>
      <c r="M190" s="750">
        <f t="shared" si="2"/>
        <v>0</v>
      </c>
      <c r="O190" s="853"/>
    </row>
    <row r="191" spans="1:15" s="450" customFormat="1" ht="17.25" hidden="1" customHeight="1" x14ac:dyDescent="0.25">
      <c r="A191" s="751" t="s">
        <v>782</v>
      </c>
      <c r="B191" s="751"/>
      <c r="C191" s="745" t="s">
        <v>1112</v>
      </c>
      <c r="D191" s="762">
        <f t="shared" si="3"/>
        <v>0</v>
      </c>
      <c r="E191" s="868"/>
      <c r="F191" s="864"/>
      <c r="G191" s="1805"/>
      <c r="H191" s="1806"/>
      <c r="I191" s="765"/>
      <c r="J191" s="791"/>
      <c r="K191" s="791"/>
      <c r="L191" s="766"/>
      <c r="M191" s="750">
        <f t="shared" si="2"/>
        <v>0</v>
      </c>
      <c r="O191" s="853"/>
    </row>
    <row r="192" spans="1:15" s="450" customFormat="1" ht="17.25" customHeight="1" x14ac:dyDescent="0.25">
      <c r="A192" s="751" t="s">
        <v>783</v>
      </c>
      <c r="B192" s="751"/>
      <c r="C192" s="745" t="s">
        <v>1113</v>
      </c>
      <c r="D192" s="914">
        <f t="shared" si="3"/>
        <v>1499000</v>
      </c>
      <c r="E192" s="621"/>
      <c r="F192" s="621">
        <v>1499000</v>
      </c>
      <c r="G192" s="1796"/>
      <c r="H192" s="1797"/>
      <c r="I192" s="765"/>
      <c r="J192" s="791"/>
      <c r="K192" s="791"/>
      <c r="L192" s="766"/>
      <c r="M192" s="750">
        <f t="shared" si="2"/>
        <v>2998000</v>
      </c>
      <c r="O192" s="853"/>
    </row>
    <row r="193" spans="1:15" s="450" customFormat="1" ht="17.25" customHeight="1" x14ac:dyDescent="0.25">
      <c r="A193" s="751" t="s">
        <v>784</v>
      </c>
      <c r="B193" s="751"/>
      <c r="C193" s="745" t="s">
        <v>1114</v>
      </c>
      <c r="D193" s="914">
        <f t="shared" si="3"/>
        <v>1499000</v>
      </c>
      <c r="E193" s="621"/>
      <c r="F193" s="621">
        <v>1499000</v>
      </c>
      <c r="G193" s="1796"/>
      <c r="H193" s="1797"/>
      <c r="I193" s="765"/>
      <c r="J193" s="791"/>
      <c r="K193" s="791"/>
      <c r="L193" s="766"/>
      <c r="M193" s="750">
        <f t="shared" si="2"/>
        <v>2998000</v>
      </c>
      <c r="O193" s="853"/>
    </row>
    <row r="194" spans="1:15" s="450" customFormat="1" ht="17.25" hidden="1" customHeight="1" x14ac:dyDescent="0.25">
      <c r="A194" s="751" t="s">
        <v>785</v>
      </c>
      <c r="B194" s="751"/>
      <c r="C194" s="745" t="s">
        <v>1115</v>
      </c>
      <c r="D194" s="762">
        <f t="shared" si="3"/>
        <v>0</v>
      </c>
      <c r="E194" s="872"/>
      <c r="F194" s="873"/>
      <c r="G194" s="1807"/>
      <c r="H194" s="1808"/>
      <c r="I194" s="765"/>
      <c r="J194" s="791"/>
      <c r="K194" s="791"/>
      <c r="L194" s="766"/>
      <c r="M194" s="750">
        <f t="shared" si="2"/>
        <v>0</v>
      </c>
      <c r="O194" s="853"/>
    </row>
    <row r="195" spans="1:15" s="450" customFormat="1" ht="17.25" customHeight="1" x14ac:dyDescent="0.25">
      <c r="A195" s="751" t="s">
        <v>910</v>
      </c>
      <c r="B195" s="751"/>
      <c r="C195" s="745" t="s">
        <v>1116</v>
      </c>
      <c r="D195" s="914">
        <f t="shared" si="3"/>
        <v>11502000</v>
      </c>
      <c r="E195" s="621">
        <v>7004000</v>
      </c>
      <c r="F195" s="621">
        <v>4498000</v>
      </c>
      <c r="G195" s="1796"/>
      <c r="H195" s="1797"/>
      <c r="I195" s="765"/>
      <c r="J195" s="791"/>
      <c r="K195" s="791"/>
      <c r="L195" s="766"/>
      <c r="M195" s="750">
        <f t="shared" si="2"/>
        <v>23004000</v>
      </c>
      <c r="O195" s="853"/>
    </row>
    <row r="196" spans="1:15" s="450" customFormat="1" x14ac:dyDescent="0.25">
      <c r="A196" s="751" t="s">
        <v>911</v>
      </c>
      <c r="B196" s="751"/>
      <c r="C196" s="745" t="s">
        <v>1117</v>
      </c>
      <c r="D196" s="914">
        <f t="shared" si="3"/>
        <v>1499000</v>
      </c>
      <c r="E196" s="621"/>
      <c r="F196" s="621">
        <v>1499000</v>
      </c>
      <c r="G196" s="1796"/>
      <c r="H196" s="1797"/>
      <c r="I196" s="765"/>
      <c r="J196" s="791"/>
      <c r="K196" s="791"/>
      <c r="L196" s="766"/>
      <c r="M196" s="750">
        <f t="shared" si="2"/>
        <v>2998000</v>
      </c>
      <c r="O196" s="853"/>
    </row>
    <row r="197" spans="1:15" s="450" customFormat="1" ht="17.25" hidden="1" customHeight="1" x14ac:dyDescent="0.25">
      <c r="A197" s="751" t="s">
        <v>1118</v>
      </c>
      <c r="B197" s="751"/>
      <c r="C197" s="745" t="s">
        <v>1119</v>
      </c>
      <c r="D197" s="762">
        <f t="shared" si="3"/>
        <v>0</v>
      </c>
      <c r="E197" s="870"/>
      <c r="F197" s="767"/>
      <c r="G197" s="1801"/>
      <c r="H197" s="1802"/>
      <c r="I197" s="765"/>
      <c r="J197" s="791"/>
      <c r="K197" s="791"/>
      <c r="L197" s="766"/>
      <c r="M197" s="750">
        <f t="shared" si="2"/>
        <v>0</v>
      </c>
      <c r="O197" s="853"/>
    </row>
    <row r="198" spans="1:15" s="450" customFormat="1" ht="17.25" hidden="1" customHeight="1" x14ac:dyDescent="0.25">
      <c r="A198" s="751" t="s">
        <v>1120</v>
      </c>
      <c r="B198" s="751"/>
      <c r="C198" s="745" t="s">
        <v>1121</v>
      </c>
      <c r="D198" s="762">
        <f t="shared" si="3"/>
        <v>0</v>
      </c>
      <c r="E198" s="763"/>
      <c r="F198" s="762"/>
      <c r="G198" s="1803"/>
      <c r="H198" s="1804"/>
      <c r="I198" s="765"/>
      <c r="J198" s="791"/>
      <c r="K198" s="791"/>
      <c r="L198" s="766"/>
      <c r="M198" s="750">
        <f t="shared" si="2"/>
        <v>0</v>
      </c>
      <c r="O198" s="853"/>
    </row>
    <row r="199" spans="1:15" s="450" customFormat="1" ht="17.25" hidden="1" customHeight="1" x14ac:dyDescent="0.25">
      <c r="A199" s="751" t="s">
        <v>1122</v>
      </c>
      <c r="B199" s="751"/>
      <c r="C199" s="745" t="s">
        <v>1123</v>
      </c>
      <c r="D199" s="762">
        <f t="shared" si="3"/>
        <v>0</v>
      </c>
      <c r="E199" s="868"/>
      <c r="F199" s="864"/>
      <c r="G199" s="1805"/>
      <c r="H199" s="1806"/>
      <c r="I199" s="765"/>
      <c r="J199" s="791"/>
      <c r="K199" s="791"/>
      <c r="L199" s="766"/>
      <c r="M199" s="750">
        <f t="shared" ref="M199:M262" si="4">SUM(D199:H199)</f>
        <v>0</v>
      </c>
      <c r="O199" s="853"/>
    </row>
    <row r="200" spans="1:15" s="450" customFormat="1" ht="17.25" customHeight="1" x14ac:dyDescent="0.25">
      <c r="A200" s="751" t="s">
        <v>1124</v>
      </c>
      <c r="B200" s="751"/>
      <c r="C200" s="745" t="s">
        <v>1125</v>
      </c>
      <c r="D200" s="914">
        <f t="shared" si="3"/>
        <v>1499000</v>
      </c>
      <c r="E200" s="621"/>
      <c r="F200" s="621">
        <v>1499000</v>
      </c>
      <c r="G200" s="1796"/>
      <c r="H200" s="1797"/>
      <c r="I200" s="765"/>
      <c r="J200" s="791"/>
      <c r="K200" s="791"/>
      <c r="L200" s="766"/>
      <c r="M200" s="750">
        <f t="shared" si="4"/>
        <v>2998000</v>
      </c>
      <c r="O200" s="853"/>
    </row>
    <row r="201" spans="1:15" s="450" customFormat="1" ht="17.25" customHeight="1" x14ac:dyDescent="0.25">
      <c r="A201" s="751" t="s">
        <v>1126</v>
      </c>
      <c r="B201" s="751"/>
      <c r="C201" s="745" t="s">
        <v>1127</v>
      </c>
      <c r="D201" s="914">
        <f t="shared" si="3"/>
        <v>1499000</v>
      </c>
      <c r="E201" s="621"/>
      <c r="F201" s="621">
        <v>1499000</v>
      </c>
      <c r="G201" s="1796"/>
      <c r="H201" s="1797"/>
      <c r="I201" s="765"/>
      <c r="J201" s="791"/>
      <c r="K201" s="791"/>
      <c r="L201" s="766"/>
      <c r="M201" s="750">
        <f t="shared" si="4"/>
        <v>2998000</v>
      </c>
      <c r="O201" s="853"/>
    </row>
    <row r="202" spans="1:15" s="450" customFormat="1" ht="17.25" hidden="1" customHeight="1" x14ac:dyDescent="0.25">
      <c r="A202" s="751" t="s">
        <v>1128</v>
      </c>
      <c r="B202" s="751"/>
      <c r="C202" s="745" t="s">
        <v>1129</v>
      </c>
      <c r="D202" s="762">
        <f t="shared" si="3"/>
        <v>0</v>
      </c>
      <c r="E202" s="870"/>
      <c r="F202" s="767"/>
      <c r="G202" s="1801"/>
      <c r="H202" s="1802"/>
      <c r="I202" s="765"/>
      <c r="J202" s="791"/>
      <c r="K202" s="791"/>
      <c r="L202" s="766"/>
      <c r="M202" s="750">
        <f t="shared" si="4"/>
        <v>0</v>
      </c>
      <c r="O202" s="853"/>
    </row>
    <row r="203" spans="1:15" s="450" customFormat="1" ht="17.25" hidden="1" customHeight="1" x14ac:dyDescent="0.25">
      <c r="A203" s="751" t="s">
        <v>1130</v>
      </c>
      <c r="B203" s="751"/>
      <c r="C203" s="745" t="s">
        <v>1131</v>
      </c>
      <c r="D203" s="762">
        <f t="shared" si="3"/>
        <v>0</v>
      </c>
      <c r="E203" s="763"/>
      <c r="F203" s="762"/>
      <c r="G203" s="1803"/>
      <c r="H203" s="1804"/>
      <c r="I203" s="765"/>
      <c r="J203" s="791"/>
      <c r="K203" s="791"/>
      <c r="L203" s="766"/>
      <c r="M203" s="750">
        <f t="shared" si="4"/>
        <v>0</v>
      </c>
      <c r="O203" s="853"/>
    </row>
    <row r="204" spans="1:15" s="450" customFormat="1" ht="17.25" hidden="1" customHeight="1" x14ac:dyDescent="0.25">
      <c r="A204" s="751" t="s">
        <v>1132</v>
      </c>
      <c r="B204" s="751"/>
      <c r="C204" s="745" t="s">
        <v>1133</v>
      </c>
      <c r="D204" s="762">
        <f t="shared" si="3"/>
        <v>0</v>
      </c>
      <c r="E204" s="763"/>
      <c r="F204" s="762"/>
      <c r="G204" s="1803"/>
      <c r="H204" s="1804"/>
      <c r="I204" s="765"/>
      <c r="J204" s="791"/>
      <c r="K204" s="791"/>
      <c r="L204" s="766"/>
      <c r="M204" s="750">
        <f t="shared" si="4"/>
        <v>0</v>
      </c>
      <c r="O204" s="853"/>
    </row>
    <row r="205" spans="1:15" s="450" customFormat="1" ht="17.25" hidden="1" customHeight="1" x14ac:dyDescent="0.25">
      <c r="A205" s="751" t="s">
        <v>1134</v>
      </c>
      <c r="B205" s="751"/>
      <c r="C205" s="745" t="s">
        <v>1135</v>
      </c>
      <c r="D205" s="762">
        <f t="shared" si="3"/>
        <v>0</v>
      </c>
      <c r="E205" s="868"/>
      <c r="F205" s="864"/>
      <c r="G205" s="1805"/>
      <c r="H205" s="1806"/>
      <c r="I205" s="765"/>
      <c r="J205" s="791"/>
      <c r="K205" s="791"/>
      <c r="L205" s="766"/>
      <c r="M205" s="750">
        <f t="shared" si="4"/>
        <v>0</v>
      </c>
      <c r="O205" s="853"/>
    </row>
    <row r="206" spans="1:15" s="450" customFormat="1" ht="17.25" customHeight="1" x14ac:dyDescent="0.25">
      <c r="A206" s="751" t="s">
        <v>1136</v>
      </c>
      <c r="B206" s="751"/>
      <c r="C206" s="745" t="s">
        <v>1137</v>
      </c>
      <c r="D206" s="914">
        <f t="shared" si="3"/>
        <v>1499000</v>
      </c>
      <c r="E206" s="621"/>
      <c r="F206" s="621">
        <v>1499000</v>
      </c>
      <c r="G206" s="1796"/>
      <c r="H206" s="1797"/>
      <c r="I206" s="765"/>
      <c r="J206" s="791"/>
      <c r="K206" s="791"/>
      <c r="L206" s="766"/>
      <c r="M206" s="750">
        <f t="shared" si="4"/>
        <v>2998000</v>
      </c>
      <c r="O206" s="853"/>
    </row>
    <row r="207" spans="1:15" ht="17.25" customHeight="1" x14ac:dyDescent="0.25">
      <c r="A207" s="751" t="s">
        <v>1138</v>
      </c>
      <c r="B207" s="751"/>
      <c r="C207" s="745" t="s">
        <v>1139</v>
      </c>
      <c r="D207" s="914">
        <f t="shared" si="3"/>
        <v>2998000</v>
      </c>
      <c r="E207" s="621"/>
      <c r="F207" s="621">
        <v>2998000</v>
      </c>
      <c r="G207" s="1796"/>
      <c r="H207" s="1797"/>
      <c r="I207" s="765"/>
      <c r="J207" s="791"/>
      <c r="K207" s="791"/>
      <c r="L207" s="766"/>
      <c r="M207" s="750">
        <f t="shared" si="4"/>
        <v>5996000</v>
      </c>
    </row>
    <row r="208" spans="1:15" ht="19.5" customHeight="1" x14ac:dyDescent="0.25">
      <c r="A208" s="751" t="s">
        <v>1140</v>
      </c>
      <c r="B208" s="751"/>
      <c r="C208" s="745" t="s">
        <v>1141</v>
      </c>
      <c r="D208" s="914">
        <f t="shared" si="3"/>
        <v>1655550</v>
      </c>
      <c r="E208" s="621"/>
      <c r="F208" s="621">
        <v>1499000</v>
      </c>
      <c r="G208" s="1794">
        <f>803400-646850</f>
        <v>156550</v>
      </c>
      <c r="H208" s="1795"/>
      <c r="I208" s="765"/>
      <c r="J208" s="791"/>
      <c r="K208" s="791"/>
      <c r="L208" s="766"/>
      <c r="M208" s="750">
        <f t="shared" si="4"/>
        <v>3311100</v>
      </c>
    </row>
    <row r="209" spans="1:15" x14ac:dyDescent="0.25">
      <c r="A209" s="751" t="s">
        <v>1142</v>
      </c>
      <c r="B209" s="751"/>
      <c r="C209" s="745" t="s">
        <v>1143</v>
      </c>
      <c r="D209" s="914">
        <f t="shared" si="3"/>
        <v>1499000</v>
      </c>
      <c r="E209" s="621"/>
      <c r="F209" s="621">
        <v>1499000</v>
      </c>
      <c r="G209" s="1796"/>
      <c r="H209" s="1797"/>
      <c r="I209" s="765"/>
      <c r="J209" s="791"/>
      <c r="K209" s="791"/>
      <c r="L209" s="766"/>
      <c r="M209" s="750">
        <f t="shared" si="4"/>
        <v>2998000</v>
      </c>
    </row>
    <row r="210" spans="1:15" x14ac:dyDescent="0.25">
      <c r="A210" s="751" t="s">
        <v>1144</v>
      </c>
      <c r="B210" s="751"/>
      <c r="C210" s="745" t="s">
        <v>1145</v>
      </c>
      <c r="D210" s="914">
        <f t="shared" si="3"/>
        <v>1499000</v>
      </c>
      <c r="E210" s="621"/>
      <c r="F210" s="621">
        <v>1499000</v>
      </c>
      <c r="G210" s="1796"/>
      <c r="H210" s="1797"/>
      <c r="I210" s="765"/>
      <c r="J210" s="791"/>
      <c r="K210" s="791"/>
      <c r="L210" s="766"/>
      <c r="M210" s="750">
        <f t="shared" si="4"/>
        <v>2998000</v>
      </c>
    </row>
    <row r="211" spans="1:15" x14ac:dyDescent="0.25">
      <c r="A211" s="751" t="s">
        <v>1146</v>
      </c>
      <c r="B211" s="751"/>
      <c r="C211" s="745" t="s">
        <v>1147</v>
      </c>
      <c r="D211" s="914">
        <f t="shared" si="3"/>
        <v>1499000</v>
      </c>
      <c r="E211" s="621"/>
      <c r="F211" s="621">
        <v>1499000</v>
      </c>
      <c r="G211" s="1796"/>
      <c r="H211" s="1797"/>
      <c r="I211" s="765"/>
      <c r="J211" s="791"/>
      <c r="K211" s="791"/>
      <c r="L211" s="766"/>
      <c r="M211" s="750">
        <f t="shared" si="4"/>
        <v>2998000</v>
      </c>
    </row>
    <row r="212" spans="1:15" hidden="1" x14ac:dyDescent="0.25">
      <c r="A212" s="751" t="s">
        <v>1148</v>
      </c>
      <c r="B212" s="751"/>
      <c r="C212" s="745" t="s">
        <v>1149</v>
      </c>
      <c r="D212" s="762">
        <f>E212+F212+G212</f>
        <v>0</v>
      </c>
      <c r="E212" s="870"/>
      <c r="F212" s="767"/>
      <c r="G212" s="1798"/>
      <c r="H212" s="1798"/>
      <c r="I212" s="765"/>
      <c r="J212" s="791"/>
      <c r="K212" s="791"/>
      <c r="L212" s="766"/>
      <c r="M212" s="750">
        <f t="shared" si="4"/>
        <v>0</v>
      </c>
    </row>
    <row r="213" spans="1:15" hidden="1" x14ac:dyDescent="0.25">
      <c r="A213" s="751"/>
      <c r="B213" s="751"/>
      <c r="C213" s="745" t="s">
        <v>168</v>
      </c>
      <c r="D213" s="864">
        <f>E213+F213+G213</f>
        <v>0</v>
      </c>
      <c r="E213" s="868"/>
      <c r="F213" s="864"/>
      <c r="G213" s="1786"/>
      <c r="H213" s="1786"/>
      <c r="I213" s="1193"/>
      <c r="J213" s="1234"/>
      <c r="K213" s="1234"/>
      <c r="L213" s="1194"/>
      <c r="M213" s="750">
        <f t="shared" si="4"/>
        <v>0</v>
      </c>
    </row>
    <row r="214" spans="1:15" ht="17.45" customHeight="1" x14ac:dyDescent="0.25">
      <c r="A214" s="1790" t="s">
        <v>321</v>
      </c>
      <c r="B214" s="1790" t="s">
        <v>322</v>
      </c>
      <c r="C214" s="1747" t="s">
        <v>1755</v>
      </c>
      <c r="D214" s="1749">
        <f>SUM(D218:D283)</f>
        <v>3481257</v>
      </c>
      <c r="E214" s="1042" t="s">
        <v>215</v>
      </c>
      <c r="F214" s="1042"/>
      <c r="G214" s="1819"/>
      <c r="H214" s="1820"/>
      <c r="I214" s="1228"/>
      <c r="J214" s="1228"/>
      <c r="K214" s="1228"/>
      <c r="L214" s="1182"/>
      <c r="M214" s="750">
        <f t="shared" si="4"/>
        <v>3481257</v>
      </c>
    </row>
    <row r="215" spans="1:15" ht="76.900000000000006" customHeight="1" x14ac:dyDescent="0.25">
      <c r="A215" s="1791"/>
      <c r="B215" s="1791"/>
      <c r="C215" s="1748"/>
      <c r="D215" s="1750"/>
      <c r="E215" s="1751" t="s">
        <v>1796</v>
      </c>
      <c r="F215" s="1751"/>
      <c r="G215" s="1756"/>
      <c r="H215" s="1757"/>
      <c r="I215" s="1211"/>
      <c r="J215" s="1211"/>
      <c r="K215" s="1211"/>
      <c r="L215" s="1206"/>
      <c r="M215" s="750">
        <v>1</v>
      </c>
      <c r="N215" s="857" t="b">
        <f>D214=дод3!E76</f>
        <v>1</v>
      </c>
      <c r="O215" s="857"/>
    </row>
    <row r="216" spans="1:15" ht="18.75" x14ac:dyDescent="0.25">
      <c r="A216" s="1058"/>
      <c r="B216" s="1058"/>
      <c r="C216" s="1058"/>
      <c r="D216" s="1095"/>
      <c r="E216" s="1751" t="s">
        <v>739</v>
      </c>
      <c r="F216" s="1751"/>
      <c r="G216" s="1756"/>
      <c r="H216" s="1757"/>
      <c r="I216" s="1211"/>
      <c r="J216" s="1211"/>
      <c r="K216" s="1211"/>
      <c r="L216" s="1206"/>
      <c r="M216" s="750">
        <v>1</v>
      </c>
      <c r="N216" s="1057"/>
      <c r="O216" s="1057"/>
    </row>
    <row r="217" spans="1:15" ht="18.75" x14ac:dyDescent="0.25">
      <c r="A217" s="1041"/>
      <c r="B217" s="1041"/>
      <c r="C217" s="1041"/>
      <c r="D217" s="1096"/>
      <c r="E217" s="1752">
        <f>E232+E272</f>
        <v>743467</v>
      </c>
      <c r="F217" s="1752"/>
      <c r="G217" s="1756"/>
      <c r="H217" s="1757"/>
      <c r="I217" s="1211"/>
      <c r="J217" s="1211"/>
      <c r="K217" s="1211"/>
      <c r="L217" s="1206"/>
      <c r="M217" s="750">
        <f t="shared" si="4"/>
        <v>743467</v>
      </c>
      <c r="N217" s="1057"/>
      <c r="O217" s="1057"/>
    </row>
    <row r="218" spans="1:15" ht="18.75" x14ac:dyDescent="0.25">
      <c r="A218" s="751" t="s">
        <v>526</v>
      </c>
      <c r="B218" s="751"/>
      <c r="C218" s="745" t="s">
        <v>1060</v>
      </c>
      <c r="D218" s="1097">
        <v>40000</v>
      </c>
      <c r="E218" s="1110"/>
      <c r="F218" s="1236"/>
      <c r="G218" s="875"/>
      <c r="H218" s="876"/>
      <c r="I218" s="876"/>
      <c r="J218" s="876"/>
      <c r="K218" s="876"/>
      <c r="L218" s="877"/>
      <c r="M218" s="750">
        <f t="shared" si="4"/>
        <v>40000</v>
      </c>
    </row>
    <row r="219" spans="1:15" ht="18.75" hidden="1" x14ac:dyDescent="0.25">
      <c r="A219" s="751" t="s">
        <v>527</v>
      </c>
      <c r="B219" s="751"/>
      <c r="C219" s="745" t="s">
        <v>1069</v>
      </c>
      <c r="D219" s="867"/>
      <c r="E219" s="875"/>
      <c r="F219" s="877"/>
      <c r="G219" s="875"/>
      <c r="H219" s="876"/>
      <c r="I219" s="876"/>
      <c r="J219" s="876"/>
      <c r="K219" s="876"/>
      <c r="L219" s="877"/>
      <c r="M219" s="750">
        <f t="shared" si="4"/>
        <v>0</v>
      </c>
    </row>
    <row r="220" spans="1:15" ht="18.75" hidden="1" x14ac:dyDescent="0.25">
      <c r="A220" s="751" t="s">
        <v>528</v>
      </c>
      <c r="B220" s="751"/>
      <c r="C220" s="745" t="s">
        <v>1070</v>
      </c>
      <c r="D220" s="867"/>
      <c r="E220" s="875"/>
      <c r="F220" s="877"/>
      <c r="G220" s="875"/>
      <c r="H220" s="876"/>
      <c r="I220" s="876"/>
      <c r="J220" s="876"/>
      <c r="K220" s="876"/>
      <c r="L220" s="877"/>
      <c r="M220" s="750">
        <f t="shared" si="4"/>
        <v>0</v>
      </c>
    </row>
    <row r="221" spans="1:15" ht="18.75" hidden="1" x14ac:dyDescent="0.25">
      <c r="A221" s="751" t="s">
        <v>529</v>
      </c>
      <c r="B221" s="751"/>
      <c r="C221" s="745" t="s">
        <v>1071</v>
      </c>
      <c r="D221" s="867"/>
      <c r="E221" s="875"/>
      <c r="F221" s="877"/>
      <c r="G221" s="875"/>
      <c r="H221" s="876"/>
      <c r="I221" s="876"/>
      <c r="J221" s="876"/>
      <c r="K221" s="876"/>
      <c r="L221" s="877"/>
      <c r="M221" s="750">
        <f t="shared" si="4"/>
        <v>0</v>
      </c>
    </row>
    <row r="222" spans="1:15" ht="18.75" hidden="1" x14ac:dyDescent="0.25">
      <c r="A222" s="751" t="s">
        <v>530</v>
      </c>
      <c r="B222" s="751"/>
      <c r="C222" s="745" t="s">
        <v>1072</v>
      </c>
      <c r="D222" s="867"/>
      <c r="E222" s="875"/>
      <c r="F222" s="877"/>
      <c r="G222" s="875"/>
      <c r="H222" s="876"/>
      <c r="I222" s="876"/>
      <c r="J222" s="876"/>
      <c r="K222" s="876"/>
      <c r="L222" s="877"/>
      <c r="M222" s="750">
        <f t="shared" si="4"/>
        <v>0</v>
      </c>
    </row>
    <row r="223" spans="1:15" ht="18.75" hidden="1" x14ac:dyDescent="0.25">
      <c r="A223" s="751" t="s">
        <v>531</v>
      </c>
      <c r="B223" s="751"/>
      <c r="C223" s="745" t="s">
        <v>1073</v>
      </c>
      <c r="D223" s="867"/>
      <c r="E223" s="875"/>
      <c r="F223" s="877"/>
      <c r="G223" s="875"/>
      <c r="H223" s="876"/>
      <c r="I223" s="876"/>
      <c r="J223" s="876"/>
      <c r="K223" s="876"/>
      <c r="L223" s="877"/>
      <c r="M223" s="750">
        <f t="shared" si="4"/>
        <v>0</v>
      </c>
    </row>
    <row r="224" spans="1:15" ht="18.75" hidden="1" x14ac:dyDescent="0.25">
      <c r="A224" s="751" t="s">
        <v>532</v>
      </c>
      <c r="B224" s="751"/>
      <c r="C224" s="745" t="s">
        <v>1074</v>
      </c>
      <c r="D224" s="867"/>
      <c r="E224" s="875"/>
      <c r="F224" s="877"/>
      <c r="G224" s="875"/>
      <c r="H224" s="876"/>
      <c r="I224" s="876"/>
      <c r="J224" s="876"/>
      <c r="K224" s="876"/>
      <c r="L224" s="877"/>
      <c r="M224" s="750">
        <f t="shared" si="4"/>
        <v>0</v>
      </c>
    </row>
    <row r="225" spans="1:13" ht="18.75" hidden="1" x14ac:dyDescent="0.25">
      <c r="A225" s="751" t="s">
        <v>533</v>
      </c>
      <c r="B225" s="751"/>
      <c r="C225" s="745" t="s">
        <v>1075</v>
      </c>
      <c r="D225" s="867"/>
      <c r="E225" s="875"/>
      <c r="F225" s="877"/>
      <c r="G225" s="875"/>
      <c r="H225" s="876"/>
      <c r="I225" s="876"/>
      <c r="J225" s="876"/>
      <c r="K225" s="876"/>
      <c r="L225" s="877"/>
      <c r="M225" s="750">
        <f t="shared" si="4"/>
        <v>0</v>
      </c>
    </row>
    <row r="226" spans="1:13" ht="18.75" hidden="1" x14ac:dyDescent="0.25">
      <c r="A226" s="751" t="s">
        <v>534</v>
      </c>
      <c r="B226" s="751"/>
      <c r="C226" s="745" t="s">
        <v>1076</v>
      </c>
      <c r="D226" s="867"/>
      <c r="E226" s="875"/>
      <c r="F226" s="877"/>
      <c r="G226" s="875"/>
      <c r="H226" s="876"/>
      <c r="I226" s="876"/>
      <c r="J226" s="876"/>
      <c r="K226" s="876"/>
      <c r="L226" s="877"/>
      <c r="M226" s="750">
        <f t="shared" si="4"/>
        <v>0</v>
      </c>
    </row>
    <row r="227" spans="1:13" ht="18.75" hidden="1" x14ac:dyDescent="0.25">
      <c r="A227" s="751" t="s">
        <v>535</v>
      </c>
      <c r="B227" s="751"/>
      <c r="C227" s="745" t="s">
        <v>1077</v>
      </c>
      <c r="D227" s="867"/>
      <c r="E227" s="875"/>
      <c r="F227" s="877"/>
      <c r="G227" s="875"/>
      <c r="H227" s="876"/>
      <c r="I227" s="876"/>
      <c r="J227" s="876"/>
      <c r="K227" s="876"/>
      <c r="L227" s="877"/>
      <c r="M227" s="750">
        <f t="shared" si="4"/>
        <v>0</v>
      </c>
    </row>
    <row r="228" spans="1:13" ht="18.75" x14ac:dyDescent="0.25">
      <c r="A228" s="751" t="s">
        <v>536</v>
      </c>
      <c r="B228" s="751"/>
      <c r="C228" s="745" t="s">
        <v>1078</v>
      </c>
      <c r="D228" s="914">
        <v>100000</v>
      </c>
      <c r="E228" s="1110"/>
      <c r="F228" s="1111"/>
      <c r="G228" s="875"/>
      <c r="H228" s="876"/>
      <c r="I228" s="876"/>
      <c r="J228" s="876"/>
      <c r="K228" s="876"/>
      <c r="L228" s="877"/>
      <c r="M228" s="750">
        <f t="shared" si="4"/>
        <v>100000</v>
      </c>
    </row>
    <row r="229" spans="1:13" ht="18.75" hidden="1" x14ac:dyDescent="0.25">
      <c r="A229" s="751" t="s">
        <v>537</v>
      </c>
      <c r="B229" s="751"/>
      <c r="C229" s="745" t="s">
        <v>1079</v>
      </c>
      <c r="D229" s="867"/>
      <c r="E229" s="875"/>
      <c r="F229" s="877"/>
      <c r="G229" s="875"/>
      <c r="H229" s="876"/>
      <c r="I229" s="876"/>
      <c r="J229" s="876"/>
      <c r="K229" s="876"/>
      <c r="L229" s="877"/>
      <c r="M229" s="750">
        <f t="shared" si="4"/>
        <v>0</v>
      </c>
    </row>
    <row r="230" spans="1:13" ht="18.75" hidden="1" x14ac:dyDescent="0.25">
      <c r="A230" s="751" t="s">
        <v>538</v>
      </c>
      <c r="B230" s="751"/>
      <c r="C230" s="745" t="s">
        <v>1080</v>
      </c>
      <c r="D230" s="867"/>
      <c r="E230" s="875"/>
      <c r="F230" s="877"/>
      <c r="G230" s="875"/>
      <c r="H230" s="876"/>
      <c r="I230" s="876"/>
      <c r="J230" s="876"/>
      <c r="K230" s="876"/>
      <c r="L230" s="877"/>
      <c r="M230" s="750">
        <f t="shared" si="4"/>
        <v>0</v>
      </c>
    </row>
    <row r="231" spans="1:13" ht="18.75" hidden="1" x14ac:dyDescent="0.25">
      <c r="A231" s="751" t="s">
        <v>539</v>
      </c>
      <c r="B231" s="751"/>
      <c r="C231" s="745" t="s">
        <v>1081</v>
      </c>
      <c r="D231" s="867"/>
      <c r="E231" s="875"/>
      <c r="F231" s="877"/>
      <c r="G231" s="875"/>
      <c r="H231" s="876"/>
      <c r="I231" s="876"/>
      <c r="J231" s="876"/>
      <c r="K231" s="876"/>
      <c r="L231" s="877"/>
      <c r="M231" s="750">
        <f t="shared" si="4"/>
        <v>0</v>
      </c>
    </row>
    <row r="232" spans="1:13" ht="18.75" x14ac:dyDescent="0.25">
      <c r="A232" s="751" t="s">
        <v>540</v>
      </c>
      <c r="B232" s="751"/>
      <c r="C232" s="745" t="s">
        <v>1082</v>
      </c>
      <c r="D232" s="914">
        <v>411942</v>
      </c>
      <c r="E232" s="1758">
        <v>411942</v>
      </c>
      <c r="F232" s="1759"/>
      <c r="G232" s="875"/>
      <c r="H232" s="876"/>
      <c r="I232" s="876"/>
      <c r="J232" s="876"/>
      <c r="K232" s="876"/>
      <c r="L232" s="877"/>
      <c r="M232" s="750">
        <f t="shared" si="4"/>
        <v>823884</v>
      </c>
    </row>
    <row r="233" spans="1:13" ht="18.75" hidden="1" x14ac:dyDescent="0.25">
      <c r="A233" s="751" t="s">
        <v>541</v>
      </c>
      <c r="B233" s="751"/>
      <c r="C233" s="745" t="s">
        <v>1083</v>
      </c>
      <c r="D233" s="867"/>
      <c r="E233" s="875"/>
      <c r="F233" s="877"/>
      <c r="G233" s="875"/>
      <c r="H233" s="876"/>
      <c r="I233" s="876"/>
      <c r="J233" s="876"/>
      <c r="K233" s="876"/>
      <c r="L233" s="877"/>
      <c r="M233" s="750">
        <f t="shared" si="4"/>
        <v>0</v>
      </c>
    </row>
    <row r="234" spans="1:13" ht="18.75" x14ac:dyDescent="0.25">
      <c r="A234" s="751" t="s">
        <v>542</v>
      </c>
      <c r="B234" s="751"/>
      <c r="C234" s="745" t="s">
        <v>1084</v>
      </c>
      <c r="D234" s="914">
        <v>300000</v>
      </c>
      <c r="E234" s="1110"/>
      <c r="F234" s="1111"/>
      <c r="G234" s="875"/>
      <c r="H234" s="876"/>
      <c r="I234" s="876"/>
      <c r="J234" s="876"/>
      <c r="K234" s="876"/>
      <c r="L234" s="877"/>
      <c r="M234" s="750">
        <f t="shared" si="4"/>
        <v>300000</v>
      </c>
    </row>
    <row r="235" spans="1:13" ht="18.75" x14ac:dyDescent="0.25">
      <c r="A235" s="751" t="s">
        <v>543</v>
      </c>
      <c r="B235" s="751"/>
      <c r="C235" s="745" t="s">
        <v>1085</v>
      </c>
      <c r="D235" s="914">
        <v>400000</v>
      </c>
      <c r="E235" s="1110"/>
      <c r="F235" s="1111"/>
      <c r="G235" s="875"/>
      <c r="H235" s="876"/>
      <c r="I235" s="876"/>
      <c r="J235" s="876"/>
      <c r="K235" s="876"/>
      <c r="L235" s="877"/>
      <c r="M235" s="750">
        <f t="shared" si="4"/>
        <v>400000</v>
      </c>
    </row>
    <row r="236" spans="1:13" ht="18.75" hidden="1" x14ac:dyDescent="0.25">
      <c r="A236" s="751" t="s">
        <v>544</v>
      </c>
      <c r="B236" s="751"/>
      <c r="C236" s="745" t="s">
        <v>1086</v>
      </c>
      <c r="D236" s="867"/>
      <c r="E236" s="875"/>
      <c r="F236" s="877"/>
      <c r="G236" s="875"/>
      <c r="H236" s="876"/>
      <c r="I236" s="876"/>
      <c r="J236" s="876"/>
      <c r="K236" s="876"/>
      <c r="L236" s="877"/>
      <c r="M236" s="750">
        <f t="shared" si="4"/>
        <v>0</v>
      </c>
    </row>
    <row r="237" spans="1:13" ht="18.75" hidden="1" x14ac:dyDescent="0.25">
      <c r="A237" s="751" t="s">
        <v>545</v>
      </c>
      <c r="B237" s="751"/>
      <c r="C237" s="745" t="s">
        <v>1087</v>
      </c>
      <c r="D237" s="867"/>
      <c r="E237" s="875"/>
      <c r="F237" s="877"/>
      <c r="G237" s="875"/>
      <c r="H237" s="876"/>
      <c r="I237" s="876"/>
      <c r="J237" s="876"/>
      <c r="K237" s="876"/>
      <c r="L237" s="877"/>
      <c r="M237" s="750">
        <f t="shared" si="4"/>
        <v>0</v>
      </c>
    </row>
    <row r="238" spans="1:13" ht="18.75" hidden="1" x14ac:dyDescent="0.25">
      <c r="A238" s="751" t="s">
        <v>546</v>
      </c>
      <c r="B238" s="751"/>
      <c r="C238" s="745" t="s">
        <v>1088</v>
      </c>
      <c r="D238" s="867"/>
      <c r="E238" s="875"/>
      <c r="F238" s="877"/>
      <c r="G238" s="875"/>
      <c r="H238" s="876"/>
      <c r="I238" s="876"/>
      <c r="J238" s="876"/>
      <c r="K238" s="876"/>
      <c r="L238" s="877"/>
      <c r="M238" s="750">
        <f t="shared" si="4"/>
        <v>0</v>
      </c>
    </row>
    <row r="239" spans="1:13" ht="18.75" x14ac:dyDescent="0.25">
      <c r="A239" s="751" t="s">
        <v>547</v>
      </c>
      <c r="B239" s="751"/>
      <c r="C239" s="745" t="s">
        <v>1089</v>
      </c>
      <c r="D239" s="914">
        <v>200000</v>
      </c>
      <c r="E239" s="1110"/>
      <c r="F239" s="1111"/>
      <c r="G239" s="875"/>
      <c r="H239" s="876"/>
      <c r="I239" s="876"/>
      <c r="J239" s="876"/>
      <c r="K239" s="876"/>
      <c r="L239" s="877"/>
      <c r="M239" s="750">
        <f t="shared" si="4"/>
        <v>200000</v>
      </c>
    </row>
    <row r="240" spans="1:13" ht="18.75" hidden="1" x14ac:dyDescent="0.25">
      <c r="A240" s="751" t="s">
        <v>548</v>
      </c>
      <c r="B240" s="751"/>
      <c r="C240" s="745" t="s">
        <v>1090</v>
      </c>
      <c r="D240" s="867"/>
      <c r="E240" s="875"/>
      <c r="F240" s="877"/>
      <c r="G240" s="875"/>
      <c r="H240" s="876"/>
      <c r="I240" s="876"/>
      <c r="J240" s="876"/>
      <c r="K240" s="876"/>
      <c r="L240" s="877"/>
      <c r="M240" s="750">
        <f t="shared" si="4"/>
        <v>0</v>
      </c>
    </row>
    <row r="241" spans="1:13" ht="18.75" x14ac:dyDescent="0.25">
      <c r="A241" s="751" t="s">
        <v>549</v>
      </c>
      <c r="B241" s="751"/>
      <c r="C241" s="745" t="s">
        <v>1091</v>
      </c>
      <c r="D241" s="914">
        <v>300000</v>
      </c>
      <c r="E241" s="1110"/>
      <c r="F241" s="1111"/>
      <c r="G241" s="875"/>
      <c r="H241" s="876"/>
      <c r="I241" s="876"/>
      <c r="J241" s="876"/>
      <c r="K241" s="876"/>
      <c r="L241" s="877"/>
      <c r="M241" s="750">
        <f t="shared" si="4"/>
        <v>300000</v>
      </c>
    </row>
    <row r="242" spans="1:13" ht="18.75" hidden="1" x14ac:dyDescent="0.25">
      <c r="A242" s="751" t="s">
        <v>550</v>
      </c>
      <c r="B242" s="751"/>
      <c r="C242" s="745" t="s">
        <v>1092</v>
      </c>
      <c r="D242" s="867"/>
      <c r="E242" s="875"/>
      <c r="F242" s="877"/>
      <c r="G242" s="875"/>
      <c r="H242" s="876"/>
      <c r="I242" s="876"/>
      <c r="J242" s="876"/>
      <c r="K242" s="876"/>
      <c r="L242" s="877"/>
      <c r="M242" s="750">
        <f t="shared" si="4"/>
        <v>0</v>
      </c>
    </row>
    <row r="243" spans="1:13" ht="18.75" hidden="1" x14ac:dyDescent="0.25">
      <c r="A243" s="751" t="s">
        <v>551</v>
      </c>
      <c r="B243" s="751"/>
      <c r="C243" s="745" t="s">
        <v>1093</v>
      </c>
      <c r="D243" s="867"/>
      <c r="E243" s="875"/>
      <c r="F243" s="877"/>
      <c r="G243" s="875"/>
      <c r="H243" s="876"/>
      <c r="I243" s="876"/>
      <c r="J243" s="876"/>
      <c r="K243" s="876"/>
      <c r="L243" s="877"/>
      <c r="M243" s="750">
        <f t="shared" si="4"/>
        <v>0</v>
      </c>
    </row>
    <row r="244" spans="1:13" ht="18.75" hidden="1" x14ac:dyDescent="0.25">
      <c r="A244" s="751" t="s">
        <v>552</v>
      </c>
      <c r="B244" s="751"/>
      <c r="C244" s="745" t="s">
        <v>1094</v>
      </c>
      <c r="D244" s="867"/>
      <c r="E244" s="875"/>
      <c r="F244" s="877"/>
      <c r="G244" s="875"/>
      <c r="H244" s="876"/>
      <c r="I244" s="876"/>
      <c r="J244" s="876"/>
      <c r="K244" s="876"/>
      <c r="L244" s="877"/>
      <c r="M244" s="750">
        <f t="shared" si="4"/>
        <v>0</v>
      </c>
    </row>
    <row r="245" spans="1:13" ht="18.75" hidden="1" x14ac:dyDescent="0.25">
      <c r="A245" s="751" t="s">
        <v>553</v>
      </c>
      <c r="B245" s="751"/>
      <c r="C245" s="745" t="s">
        <v>1095</v>
      </c>
      <c r="D245" s="867"/>
      <c r="E245" s="875"/>
      <c r="F245" s="877"/>
      <c r="G245" s="875"/>
      <c r="H245" s="876"/>
      <c r="I245" s="876"/>
      <c r="J245" s="876"/>
      <c r="K245" s="876"/>
      <c r="L245" s="877"/>
      <c r="M245" s="750">
        <f t="shared" si="4"/>
        <v>0</v>
      </c>
    </row>
    <row r="246" spans="1:13" ht="18.75" hidden="1" x14ac:dyDescent="0.25">
      <c r="A246" s="751" t="s">
        <v>554</v>
      </c>
      <c r="B246" s="751"/>
      <c r="C246" s="745" t="s">
        <v>1096</v>
      </c>
      <c r="D246" s="867"/>
      <c r="E246" s="875"/>
      <c r="F246" s="877"/>
      <c r="G246" s="875"/>
      <c r="H246" s="876"/>
      <c r="I246" s="876"/>
      <c r="J246" s="876"/>
      <c r="K246" s="876"/>
      <c r="L246" s="877"/>
      <c r="M246" s="750">
        <f t="shared" si="4"/>
        <v>0</v>
      </c>
    </row>
    <row r="247" spans="1:13" ht="18.75" hidden="1" x14ac:dyDescent="0.25">
      <c r="A247" s="751" t="s">
        <v>555</v>
      </c>
      <c r="B247" s="751"/>
      <c r="C247" s="745" t="s">
        <v>1097</v>
      </c>
      <c r="D247" s="867"/>
      <c r="E247" s="875"/>
      <c r="F247" s="877"/>
      <c r="G247" s="875"/>
      <c r="H247" s="876"/>
      <c r="I247" s="876"/>
      <c r="J247" s="876"/>
      <c r="K247" s="876"/>
      <c r="L247" s="877"/>
      <c r="M247" s="750">
        <f t="shared" si="4"/>
        <v>0</v>
      </c>
    </row>
    <row r="248" spans="1:13" ht="18.75" hidden="1" x14ac:dyDescent="0.25">
      <c r="A248" s="751" t="s">
        <v>556</v>
      </c>
      <c r="B248" s="751"/>
      <c r="C248" s="745" t="s">
        <v>1098</v>
      </c>
      <c r="D248" s="867"/>
      <c r="E248" s="875"/>
      <c r="F248" s="877"/>
      <c r="G248" s="875"/>
      <c r="H248" s="876"/>
      <c r="I248" s="876"/>
      <c r="J248" s="876"/>
      <c r="K248" s="876"/>
      <c r="L248" s="877"/>
      <c r="M248" s="750">
        <f t="shared" si="4"/>
        <v>0</v>
      </c>
    </row>
    <row r="249" spans="1:13" ht="18.75" hidden="1" x14ac:dyDescent="0.25">
      <c r="A249" s="751" t="s">
        <v>557</v>
      </c>
      <c r="B249" s="751"/>
      <c r="C249" s="745" t="s">
        <v>1099</v>
      </c>
      <c r="D249" s="867"/>
      <c r="E249" s="875"/>
      <c r="F249" s="877"/>
      <c r="G249" s="875"/>
      <c r="H249" s="876"/>
      <c r="I249" s="876"/>
      <c r="J249" s="876"/>
      <c r="K249" s="876"/>
      <c r="L249" s="877"/>
      <c r="M249" s="750">
        <f t="shared" si="4"/>
        <v>0</v>
      </c>
    </row>
    <row r="250" spans="1:13" ht="18.75" x14ac:dyDescent="0.25">
      <c r="A250" s="751" t="s">
        <v>558</v>
      </c>
      <c r="B250" s="751"/>
      <c r="C250" s="745" t="s">
        <v>1100</v>
      </c>
      <c r="D250" s="914">
        <v>50000</v>
      </c>
      <c r="E250" s="1110"/>
      <c r="F250" s="1111"/>
      <c r="G250" s="875"/>
      <c r="H250" s="876"/>
      <c r="I250" s="876"/>
      <c r="J250" s="876"/>
      <c r="K250" s="876"/>
      <c r="L250" s="877"/>
      <c r="M250" s="750">
        <f t="shared" si="4"/>
        <v>50000</v>
      </c>
    </row>
    <row r="251" spans="1:13" ht="18.75" hidden="1" x14ac:dyDescent="0.25">
      <c r="A251" s="751" t="s">
        <v>559</v>
      </c>
      <c r="B251" s="751"/>
      <c r="C251" s="745" t="s">
        <v>1101</v>
      </c>
      <c r="D251" s="867"/>
      <c r="E251" s="875"/>
      <c r="F251" s="877"/>
      <c r="G251" s="875"/>
      <c r="H251" s="876"/>
      <c r="I251" s="876"/>
      <c r="J251" s="876"/>
      <c r="K251" s="876"/>
      <c r="L251" s="877"/>
      <c r="M251" s="750">
        <f t="shared" si="4"/>
        <v>0</v>
      </c>
    </row>
    <row r="252" spans="1:13" ht="18.75" hidden="1" x14ac:dyDescent="0.25">
      <c r="A252" s="751" t="s">
        <v>560</v>
      </c>
      <c r="B252" s="751"/>
      <c r="C252" s="745" t="s">
        <v>1102</v>
      </c>
      <c r="D252" s="867"/>
      <c r="E252" s="875"/>
      <c r="F252" s="877"/>
      <c r="G252" s="875"/>
      <c r="H252" s="876"/>
      <c r="I252" s="876"/>
      <c r="J252" s="876"/>
      <c r="K252" s="876"/>
      <c r="L252" s="877"/>
      <c r="M252" s="750">
        <f t="shared" si="4"/>
        <v>0</v>
      </c>
    </row>
    <row r="253" spans="1:13" ht="18.75" hidden="1" x14ac:dyDescent="0.25">
      <c r="A253" s="751" t="s">
        <v>561</v>
      </c>
      <c r="B253" s="751"/>
      <c r="C253" s="745" t="s">
        <v>1103</v>
      </c>
      <c r="D253" s="867"/>
      <c r="E253" s="875"/>
      <c r="F253" s="877"/>
      <c r="G253" s="875"/>
      <c r="H253" s="876"/>
      <c r="I253" s="876"/>
      <c r="J253" s="876"/>
      <c r="K253" s="876"/>
      <c r="L253" s="877"/>
      <c r="M253" s="750">
        <f t="shared" si="4"/>
        <v>0</v>
      </c>
    </row>
    <row r="254" spans="1:13" ht="18.75" hidden="1" x14ac:dyDescent="0.25">
      <c r="A254" s="751" t="s">
        <v>562</v>
      </c>
      <c r="B254" s="751"/>
      <c r="C254" s="745" t="s">
        <v>1104</v>
      </c>
      <c r="D254" s="867"/>
      <c r="E254" s="875"/>
      <c r="F254" s="877"/>
      <c r="G254" s="875"/>
      <c r="H254" s="876"/>
      <c r="I254" s="876"/>
      <c r="J254" s="876"/>
      <c r="K254" s="876"/>
      <c r="L254" s="877"/>
      <c r="M254" s="750">
        <f t="shared" si="4"/>
        <v>0</v>
      </c>
    </row>
    <row r="255" spans="1:13" ht="18.75" x14ac:dyDescent="0.25">
      <c r="A255" s="751" t="s">
        <v>563</v>
      </c>
      <c r="B255" s="751"/>
      <c r="C255" s="745" t="s">
        <v>1105</v>
      </c>
      <c r="D255" s="914">
        <v>125000</v>
      </c>
      <c r="E255" s="1110"/>
      <c r="F255" s="1111"/>
      <c r="G255" s="875"/>
      <c r="H255" s="876"/>
      <c r="I255" s="876"/>
      <c r="J255" s="876"/>
      <c r="K255" s="876"/>
      <c r="L255" s="877"/>
      <c r="M255" s="750">
        <f t="shared" si="4"/>
        <v>125000</v>
      </c>
    </row>
    <row r="256" spans="1:13" ht="18.75" x14ac:dyDescent="0.25">
      <c r="A256" s="751" t="s">
        <v>564</v>
      </c>
      <c r="B256" s="751"/>
      <c r="C256" s="745" t="s">
        <v>1106</v>
      </c>
      <c r="D256" s="914">
        <v>50000</v>
      </c>
      <c r="E256" s="1110"/>
      <c r="F256" s="1111"/>
      <c r="G256" s="875"/>
      <c r="H256" s="876"/>
      <c r="I256" s="876"/>
      <c r="J256" s="876"/>
      <c r="K256" s="876"/>
      <c r="L256" s="877"/>
      <c r="M256" s="750">
        <f t="shared" si="4"/>
        <v>50000</v>
      </c>
    </row>
    <row r="257" spans="1:13" ht="18.75" hidden="1" x14ac:dyDescent="0.25">
      <c r="A257" s="751" t="s">
        <v>565</v>
      </c>
      <c r="B257" s="751"/>
      <c r="C257" s="745" t="s">
        <v>1107</v>
      </c>
      <c r="D257" s="867"/>
      <c r="E257" s="875"/>
      <c r="F257" s="877"/>
      <c r="G257" s="875"/>
      <c r="H257" s="876"/>
      <c r="I257" s="876"/>
      <c r="J257" s="876"/>
      <c r="K257" s="876"/>
      <c r="L257" s="877"/>
      <c r="M257" s="750">
        <f t="shared" si="4"/>
        <v>0</v>
      </c>
    </row>
    <row r="258" spans="1:13" ht="18.75" x14ac:dyDescent="0.25">
      <c r="A258" s="751" t="s">
        <v>566</v>
      </c>
      <c r="B258" s="751"/>
      <c r="C258" s="745" t="s">
        <v>1108</v>
      </c>
      <c r="D258" s="914">
        <v>145000</v>
      </c>
      <c r="E258" s="1110"/>
      <c r="F258" s="1111"/>
      <c r="G258" s="875"/>
      <c r="H258" s="876"/>
      <c r="I258" s="876"/>
      <c r="J258" s="876"/>
      <c r="K258" s="876"/>
      <c r="L258" s="877"/>
      <c r="M258" s="750">
        <f t="shared" si="4"/>
        <v>145000</v>
      </c>
    </row>
    <row r="259" spans="1:13" ht="18.75" hidden="1" x14ac:dyDescent="0.25">
      <c r="A259" s="751" t="s">
        <v>567</v>
      </c>
      <c r="B259" s="751"/>
      <c r="C259" s="745" t="s">
        <v>1109</v>
      </c>
      <c r="D259" s="867"/>
      <c r="E259" s="875"/>
      <c r="F259" s="877"/>
      <c r="G259" s="875"/>
      <c r="H259" s="876"/>
      <c r="I259" s="876"/>
      <c r="J259" s="876"/>
      <c r="K259" s="876"/>
      <c r="L259" s="877"/>
      <c r="M259" s="750">
        <f t="shared" si="4"/>
        <v>0</v>
      </c>
    </row>
    <row r="260" spans="1:13" ht="18.75" hidden="1" x14ac:dyDescent="0.25">
      <c r="A260" s="751" t="s">
        <v>780</v>
      </c>
      <c r="B260" s="751"/>
      <c r="C260" s="745" t="s">
        <v>1110</v>
      </c>
      <c r="D260" s="867"/>
      <c r="E260" s="875"/>
      <c r="F260" s="877"/>
      <c r="G260" s="875"/>
      <c r="H260" s="876"/>
      <c r="I260" s="876"/>
      <c r="J260" s="876"/>
      <c r="K260" s="876"/>
      <c r="L260" s="877"/>
      <c r="M260" s="750">
        <f t="shared" si="4"/>
        <v>0</v>
      </c>
    </row>
    <row r="261" spans="1:13" ht="18.75" hidden="1" x14ac:dyDescent="0.25">
      <c r="A261" s="751" t="s">
        <v>781</v>
      </c>
      <c r="B261" s="751"/>
      <c r="C261" s="745" t="s">
        <v>1111</v>
      </c>
      <c r="D261" s="867"/>
      <c r="E261" s="875"/>
      <c r="F261" s="877"/>
      <c r="G261" s="875"/>
      <c r="H261" s="876"/>
      <c r="I261" s="876"/>
      <c r="J261" s="876"/>
      <c r="K261" s="876"/>
      <c r="L261" s="877"/>
      <c r="M261" s="750">
        <f t="shared" si="4"/>
        <v>0</v>
      </c>
    </row>
    <row r="262" spans="1:13" ht="18.75" hidden="1" x14ac:dyDescent="0.25">
      <c r="A262" s="751" t="s">
        <v>782</v>
      </c>
      <c r="B262" s="751"/>
      <c r="C262" s="745" t="s">
        <v>1112</v>
      </c>
      <c r="D262" s="867"/>
      <c r="E262" s="875"/>
      <c r="F262" s="877"/>
      <c r="G262" s="875"/>
      <c r="H262" s="876"/>
      <c r="I262" s="876"/>
      <c r="J262" s="876"/>
      <c r="K262" s="876"/>
      <c r="L262" s="877"/>
      <c r="M262" s="750">
        <f t="shared" si="4"/>
        <v>0</v>
      </c>
    </row>
    <row r="263" spans="1:13" ht="18.75" hidden="1" x14ac:dyDescent="0.25">
      <c r="A263" s="751" t="s">
        <v>783</v>
      </c>
      <c r="B263" s="751"/>
      <c r="C263" s="745" t="s">
        <v>1113</v>
      </c>
      <c r="D263" s="867"/>
      <c r="E263" s="875"/>
      <c r="F263" s="877"/>
      <c r="G263" s="875"/>
      <c r="H263" s="876"/>
      <c r="I263" s="876"/>
      <c r="J263" s="876"/>
      <c r="K263" s="876"/>
      <c r="L263" s="877"/>
      <c r="M263" s="750">
        <f t="shared" ref="M263:M326" si="5">SUM(D263:H263)</f>
        <v>0</v>
      </c>
    </row>
    <row r="264" spans="1:13" ht="18.75" hidden="1" x14ac:dyDescent="0.25">
      <c r="A264" s="751" t="s">
        <v>784</v>
      </c>
      <c r="B264" s="751"/>
      <c r="C264" s="745" t="s">
        <v>1114</v>
      </c>
      <c r="D264" s="867"/>
      <c r="E264" s="875"/>
      <c r="F264" s="877"/>
      <c r="G264" s="875"/>
      <c r="H264" s="876"/>
      <c r="I264" s="876"/>
      <c r="J264" s="876"/>
      <c r="K264" s="876"/>
      <c r="L264" s="877"/>
      <c r="M264" s="750">
        <f t="shared" si="5"/>
        <v>0</v>
      </c>
    </row>
    <row r="265" spans="1:13" ht="18.75" hidden="1" x14ac:dyDescent="0.25">
      <c r="A265" s="751" t="s">
        <v>785</v>
      </c>
      <c r="B265" s="751"/>
      <c r="C265" s="745" t="s">
        <v>1115</v>
      </c>
      <c r="D265" s="867"/>
      <c r="E265" s="875"/>
      <c r="F265" s="877"/>
      <c r="G265" s="875"/>
      <c r="H265" s="876"/>
      <c r="I265" s="876"/>
      <c r="J265" s="876"/>
      <c r="K265" s="876"/>
      <c r="L265" s="877"/>
      <c r="M265" s="750">
        <f t="shared" si="5"/>
        <v>0</v>
      </c>
    </row>
    <row r="266" spans="1:13" ht="18.75" x14ac:dyDescent="0.25">
      <c r="A266" s="751" t="s">
        <v>910</v>
      </c>
      <c r="B266" s="751"/>
      <c r="C266" s="745" t="s">
        <v>1116</v>
      </c>
      <c r="D266" s="914">
        <v>262890</v>
      </c>
      <c r="E266" s="1110"/>
      <c r="F266" s="1111"/>
      <c r="G266" s="875"/>
      <c r="H266" s="876"/>
      <c r="I266" s="876"/>
      <c r="J266" s="876"/>
      <c r="K266" s="876"/>
      <c r="L266" s="877"/>
      <c r="M266" s="750">
        <f t="shared" si="5"/>
        <v>262890</v>
      </c>
    </row>
    <row r="267" spans="1:13" ht="18.75" x14ac:dyDescent="0.25">
      <c r="A267" s="751" t="s">
        <v>911</v>
      </c>
      <c r="B267" s="751"/>
      <c r="C267" s="745" t="s">
        <v>1117</v>
      </c>
      <c r="D267" s="914">
        <v>291900</v>
      </c>
      <c r="E267" s="1110"/>
      <c r="F267" s="1111"/>
      <c r="G267" s="875"/>
      <c r="H267" s="876"/>
      <c r="I267" s="876"/>
      <c r="J267" s="876"/>
      <c r="K267" s="876"/>
      <c r="L267" s="877"/>
      <c r="M267" s="750">
        <f t="shared" si="5"/>
        <v>291900</v>
      </c>
    </row>
    <row r="268" spans="1:13" ht="18.75" hidden="1" x14ac:dyDescent="0.25">
      <c r="A268" s="751" t="s">
        <v>1118</v>
      </c>
      <c r="B268" s="751"/>
      <c r="C268" s="745" t="s">
        <v>1119</v>
      </c>
      <c r="D268" s="867"/>
      <c r="E268" s="875"/>
      <c r="F268" s="877"/>
      <c r="G268" s="875"/>
      <c r="H268" s="876"/>
      <c r="I268" s="876"/>
      <c r="J268" s="876"/>
      <c r="K268" s="876"/>
      <c r="L268" s="877"/>
      <c r="M268" s="750">
        <f t="shared" si="5"/>
        <v>0</v>
      </c>
    </row>
    <row r="269" spans="1:13" ht="18.75" hidden="1" x14ac:dyDescent="0.25">
      <c r="A269" s="751" t="s">
        <v>1120</v>
      </c>
      <c r="B269" s="751"/>
      <c r="C269" s="745" t="s">
        <v>1121</v>
      </c>
      <c r="D269" s="867"/>
      <c r="E269" s="875"/>
      <c r="F269" s="877"/>
      <c r="G269" s="875"/>
      <c r="H269" s="876"/>
      <c r="I269" s="876"/>
      <c r="J269" s="876"/>
      <c r="K269" s="876"/>
      <c r="L269" s="877"/>
      <c r="M269" s="750">
        <f t="shared" si="5"/>
        <v>0</v>
      </c>
    </row>
    <row r="270" spans="1:13" ht="18.75" hidden="1" x14ac:dyDescent="0.25">
      <c r="A270" s="751" t="s">
        <v>1122</v>
      </c>
      <c r="B270" s="751"/>
      <c r="C270" s="745" t="s">
        <v>1123</v>
      </c>
      <c r="D270" s="867"/>
      <c r="E270" s="875"/>
      <c r="F270" s="877"/>
      <c r="G270" s="875"/>
      <c r="H270" s="876"/>
      <c r="I270" s="876"/>
      <c r="J270" s="876"/>
      <c r="K270" s="876"/>
      <c r="L270" s="877"/>
      <c r="M270" s="750">
        <f t="shared" si="5"/>
        <v>0</v>
      </c>
    </row>
    <row r="271" spans="1:13" ht="18.75" hidden="1" x14ac:dyDescent="0.25">
      <c r="A271" s="751" t="s">
        <v>1124</v>
      </c>
      <c r="B271" s="751"/>
      <c r="C271" s="745" t="s">
        <v>1125</v>
      </c>
      <c r="D271" s="867"/>
      <c r="E271" s="875"/>
      <c r="F271" s="877"/>
      <c r="G271" s="875"/>
      <c r="H271" s="876"/>
      <c r="I271" s="876"/>
      <c r="J271" s="876"/>
      <c r="K271" s="876"/>
      <c r="L271" s="877"/>
      <c r="M271" s="750">
        <f t="shared" si="5"/>
        <v>0</v>
      </c>
    </row>
    <row r="272" spans="1:13" ht="18.75" x14ac:dyDescent="0.25">
      <c r="A272" s="751" t="s">
        <v>1126</v>
      </c>
      <c r="B272" s="751"/>
      <c r="C272" s="745" t="s">
        <v>1127</v>
      </c>
      <c r="D272" s="914">
        <f>331525+127000</f>
        <v>458525</v>
      </c>
      <c r="E272" s="1758">
        <v>331525</v>
      </c>
      <c r="F272" s="1759"/>
      <c r="G272" s="875"/>
      <c r="H272" s="876"/>
      <c r="I272" s="876"/>
      <c r="J272" s="876"/>
      <c r="K272" s="876"/>
      <c r="L272" s="877"/>
      <c r="M272" s="750">
        <f t="shared" si="5"/>
        <v>790050</v>
      </c>
    </row>
    <row r="273" spans="1:16" ht="18.75" x14ac:dyDescent="0.25">
      <c r="A273" s="751" t="s">
        <v>1128</v>
      </c>
      <c r="B273" s="751"/>
      <c r="C273" s="745" t="s">
        <v>1129</v>
      </c>
      <c r="D273" s="914">
        <v>30000</v>
      </c>
      <c r="E273" s="342"/>
      <c r="F273" s="1112"/>
      <c r="G273" s="875"/>
      <c r="H273" s="876"/>
      <c r="I273" s="876"/>
      <c r="J273" s="876"/>
      <c r="K273" s="876"/>
      <c r="L273" s="877"/>
      <c r="M273" s="750">
        <f t="shared" si="5"/>
        <v>30000</v>
      </c>
    </row>
    <row r="274" spans="1:16" ht="18.75" hidden="1" x14ac:dyDescent="0.25">
      <c r="A274" s="751" t="s">
        <v>1130</v>
      </c>
      <c r="B274" s="751"/>
      <c r="C274" s="745" t="s">
        <v>1131</v>
      </c>
      <c r="D274" s="867"/>
      <c r="E274" s="875"/>
      <c r="F274" s="877"/>
      <c r="G274" s="875"/>
      <c r="H274" s="876"/>
      <c r="I274" s="876"/>
      <c r="J274" s="876"/>
      <c r="K274" s="876"/>
      <c r="L274" s="877"/>
      <c r="M274" s="750">
        <f t="shared" si="5"/>
        <v>0</v>
      </c>
    </row>
    <row r="275" spans="1:16" ht="18.75" hidden="1" x14ac:dyDescent="0.25">
      <c r="A275" s="751" t="s">
        <v>1132</v>
      </c>
      <c r="B275" s="751"/>
      <c r="C275" s="745" t="s">
        <v>1133</v>
      </c>
      <c r="D275" s="867"/>
      <c r="E275" s="875"/>
      <c r="F275" s="877"/>
      <c r="G275" s="875"/>
      <c r="H275" s="876"/>
      <c r="I275" s="876"/>
      <c r="J275" s="876"/>
      <c r="K275" s="876"/>
      <c r="L275" s="877"/>
      <c r="M275" s="750">
        <f t="shared" si="5"/>
        <v>0</v>
      </c>
    </row>
    <row r="276" spans="1:16" ht="18.75" hidden="1" x14ac:dyDescent="0.25">
      <c r="A276" s="751" t="s">
        <v>1134</v>
      </c>
      <c r="B276" s="751"/>
      <c r="C276" s="745" t="s">
        <v>1135</v>
      </c>
      <c r="D276" s="867"/>
      <c r="E276" s="875"/>
      <c r="F276" s="877"/>
      <c r="G276" s="875"/>
      <c r="H276" s="876"/>
      <c r="I276" s="876"/>
      <c r="J276" s="876"/>
      <c r="K276" s="876"/>
      <c r="L276" s="877"/>
      <c r="M276" s="750">
        <f t="shared" si="5"/>
        <v>0</v>
      </c>
    </row>
    <row r="277" spans="1:16" ht="18.75" x14ac:dyDescent="0.25">
      <c r="A277" s="751" t="s">
        <v>1136</v>
      </c>
      <c r="B277" s="751"/>
      <c r="C277" s="745" t="s">
        <v>1137</v>
      </c>
      <c r="D277" s="914">
        <v>50000</v>
      </c>
      <c r="E277" s="342"/>
      <c r="F277" s="1112"/>
      <c r="G277" s="875"/>
      <c r="H277" s="876"/>
      <c r="I277" s="876"/>
      <c r="J277" s="876"/>
      <c r="K277" s="876"/>
      <c r="L277" s="877"/>
      <c r="M277" s="750">
        <f t="shared" si="5"/>
        <v>50000</v>
      </c>
    </row>
    <row r="278" spans="1:16" ht="18.75" hidden="1" x14ac:dyDescent="0.25">
      <c r="A278" s="751" t="s">
        <v>1138</v>
      </c>
      <c r="B278" s="751"/>
      <c r="C278" s="745" t="s">
        <v>1139</v>
      </c>
      <c r="D278" s="867"/>
      <c r="E278" s="875"/>
      <c r="F278" s="877"/>
      <c r="G278" s="875"/>
      <c r="H278" s="876"/>
      <c r="I278" s="876"/>
      <c r="J278" s="876"/>
      <c r="K278" s="876"/>
      <c r="L278" s="877"/>
      <c r="M278" s="750">
        <f t="shared" si="5"/>
        <v>0</v>
      </c>
    </row>
    <row r="279" spans="1:16" ht="18.75" hidden="1" x14ac:dyDescent="0.25">
      <c r="A279" s="751" t="s">
        <v>1140</v>
      </c>
      <c r="B279" s="751"/>
      <c r="C279" s="745" t="s">
        <v>1141</v>
      </c>
      <c r="D279" s="867"/>
      <c r="E279" s="875"/>
      <c r="F279" s="877"/>
      <c r="G279" s="875"/>
      <c r="H279" s="876"/>
      <c r="I279" s="876"/>
      <c r="J279" s="876"/>
      <c r="K279" s="876"/>
      <c r="L279" s="877"/>
      <c r="M279" s="750">
        <f t="shared" si="5"/>
        <v>0</v>
      </c>
    </row>
    <row r="280" spans="1:16" ht="18.75" hidden="1" x14ac:dyDescent="0.25">
      <c r="A280" s="751" t="s">
        <v>1142</v>
      </c>
      <c r="B280" s="751"/>
      <c r="C280" s="745" t="s">
        <v>1143</v>
      </c>
      <c r="D280" s="867"/>
      <c r="E280" s="875"/>
      <c r="F280" s="877"/>
      <c r="G280" s="875"/>
      <c r="H280" s="876"/>
      <c r="I280" s="876"/>
      <c r="J280" s="876"/>
      <c r="K280" s="876"/>
      <c r="L280" s="877"/>
      <c r="M280" s="750">
        <f t="shared" si="5"/>
        <v>0</v>
      </c>
    </row>
    <row r="281" spans="1:16" ht="18.75" hidden="1" x14ac:dyDescent="0.25">
      <c r="A281" s="751" t="s">
        <v>1144</v>
      </c>
      <c r="B281" s="751"/>
      <c r="C281" s="745" t="s">
        <v>1145</v>
      </c>
      <c r="D281" s="867"/>
      <c r="E281" s="875"/>
      <c r="F281" s="877"/>
      <c r="G281" s="875"/>
      <c r="H281" s="876"/>
      <c r="I281" s="876"/>
      <c r="J281" s="876"/>
      <c r="K281" s="876"/>
      <c r="L281" s="877"/>
      <c r="M281" s="750">
        <f t="shared" si="5"/>
        <v>0</v>
      </c>
    </row>
    <row r="282" spans="1:16" ht="18.75" x14ac:dyDescent="0.25">
      <c r="A282" s="751" t="s">
        <v>1146</v>
      </c>
      <c r="B282" s="751"/>
      <c r="C282" s="745" t="s">
        <v>1147</v>
      </c>
      <c r="D282" s="914">
        <v>266000</v>
      </c>
      <c r="E282" s="875"/>
      <c r="F282" s="877"/>
      <c r="G282" s="875"/>
      <c r="H282" s="876"/>
      <c r="I282" s="876"/>
      <c r="J282" s="876"/>
      <c r="K282" s="876"/>
      <c r="L282" s="877"/>
      <c r="M282" s="750">
        <f t="shared" si="5"/>
        <v>266000</v>
      </c>
    </row>
    <row r="283" spans="1:16" ht="18.75" hidden="1" x14ac:dyDescent="0.25">
      <c r="A283" s="751" t="s">
        <v>1148</v>
      </c>
      <c r="B283" s="751"/>
      <c r="C283" s="745" t="s">
        <v>1149</v>
      </c>
      <c r="D283" s="867"/>
      <c r="E283" s="875"/>
      <c r="F283" s="877"/>
      <c r="G283" s="875"/>
      <c r="H283" s="876"/>
      <c r="I283" s="876"/>
      <c r="J283" s="876"/>
      <c r="K283" s="876"/>
      <c r="L283" s="877"/>
      <c r="M283" s="750">
        <f t="shared" si="5"/>
        <v>0</v>
      </c>
    </row>
    <row r="284" spans="1:16" ht="18.75" hidden="1" x14ac:dyDescent="0.25">
      <c r="A284" s="788"/>
      <c r="B284" s="788"/>
      <c r="C284" s="865" t="s">
        <v>168</v>
      </c>
      <c r="D284" s="928"/>
      <c r="E284" s="875"/>
      <c r="F284" s="877"/>
      <c r="G284" s="875"/>
      <c r="H284" s="876"/>
      <c r="I284" s="876"/>
      <c r="J284" s="876"/>
      <c r="K284" s="876"/>
      <c r="L284" s="877"/>
      <c r="M284" s="750">
        <f t="shared" si="5"/>
        <v>0</v>
      </c>
    </row>
    <row r="285" spans="1:16" ht="117.75" customHeight="1" x14ac:dyDescent="0.25">
      <c r="A285" s="1741" t="s">
        <v>324</v>
      </c>
      <c r="B285" s="1738">
        <v>9330</v>
      </c>
      <c r="C285" s="1753" t="s">
        <v>668</v>
      </c>
      <c r="D285" s="1089">
        <f>SUM(D289:D355)</f>
        <v>21231900</v>
      </c>
      <c r="E285" s="1799" t="s">
        <v>889</v>
      </c>
      <c r="F285" s="1800"/>
      <c r="G285" s="1799" t="s">
        <v>888</v>
      </c>
      <c r="H285" s="1800"/>
      <c r="I285" s="1237"/>
      <c r="J285" s="1238"/>
      <c r="K285" s="1238"/>
      <c r="L285" s="1239"/>
      <c r="M285" s="750">
        <f t="shared" si="5"/>
        <v>21231900</v>
      </c>
      <c r="O285" s="857" t="b">
        <f>D285=дод3!E77</f>
        <v>1</v>
      </c>
      <c r="P285" s="851"/>
    </row>
    <row r="286" spans="1:16" ht="31.5" x14ac:dyDescent="0.25">
      <c r="A286" s="1742"/>
      <c r="B286" s="1739"/>
      <c r="C286" s="1754"/>
      <c r="D286" s="1090"/>
      <c r="E286" s="874" t="s">
        <v>84</v>
      </c>
      <c r="F286" s="874" t="s">
        <v>85</v>
      </c>
      <c r="G286" s="874" t="s">
        <v>84</v>
      </c>
      <c r="H286" s="874" t="s">
        <v>85</v>
      </c>
      <c r="I286" s="1240"/>
      <c r="J286" s="1213"/>
      <c r="K286" s="1213"/>
      <c r="L286" s="1241"/>
      <c r="M286" s="750">
        <v>1</v>
      </c>
    </row>
    <row r="287" spans="1:16" ht="18.75" x14ac:dyDescent="0.25">
      <c r="A287" s="1742"/>
      <c r="B287" s="1739"/>
      <c r="C287" s="1754"/>
      <c r="D287" s="1090"/>
      <c r="E287" s="1787" t="s">
        <v>739</v>
      </c>
      <c r="F287" s="1788"/>
      <c r="G287" s="1788"/>
      <c r="H287" s="1789"/>
      <c r="I287" s="1242"/>
      <c r="J287" s="1214"/>
      <c r="K287" s="1214"/>
      <c r="L287" s="1243"/>
      <c r="M287" s="750">
        <v>1</v>
      </c>
    </row>
    <row r="288" spans="1:16" ht="18.75" customHeight="1" x14ac:dyDescent="0.25">
      <c r="A288" s="1743"/>
      <c r="B288" s="1740"/>
      <c r="C288" s="1755"/>
      <c r="D288" s="1098"/>
      <c r="E288" s="1105">
        <f>SUM(E289:E354)</f>
        <v>10890407</v>
      </c>
      <c r="F288" s="1105">
        <f>SUM(F289:F354)</f>
        <v>5526135</v>
      </c>
      <c r="G288" s="1105">
        <f>SUM(G289:G354)</f>
        <v>3194393</v>
      </c>
      <c r="H288" s="1105">
        <f>SUM(H289:H354)</f>
        <v>1620965</v>
      </c>
      <c r="I288" s="1244"/>
      <c r="J288" s="1245"/>
      <c r="K288" s="1245"/>
      <c r="L288" s="1246"/>
      <c r="M288" s="750">
        <f t="shared" si="5"/>
        <v>21231900</v>
      </c>
    </row>
    <row r="289" spans="1:13" x14ac:dyDescent="0.25">
      <c r="A289" s="751" t="s">
        <v>526</v>
      </c>
      <c r="B289" s="751"/>
      <c r="C289" s="745" t="s">
        <v>1060</v>
      </c>
      <c r="D289" s="914">
        <f>E289+F289+G289+H289</f>
        <v>59265</v>
      </c>
      <c r="E289" s="621">
        <v>29487</v>
      </c>
      <c r="F289" s="621">
        <v>14962</v>
      </c>
      <c r="G289" s="1106">
        <v>9829</v>
      </c>
      <c r="H289" s="621">
        <v>4987</v>
      </c>
      <c r="I289" s="1247"/>
      <c r="J289" s="1248"/>
      <c r="K289" s="1248"/>
      <c r="L289" s="1249"/>
      <c r="M289" s="750">
        <f t="shared" si="5"/>
        <v>118530</v>
      </c>
    </row>
    <row r="290" spans="1:13" x14ac:dyDescent="0.25">
      <c r="A290" s="751" t="s">
        <v>527</v>
      </c>
      <c r="B290" s="751"/>
      <c r="C290" s="745" t="s">
        <v>1069</v>
      </c>
      <c r="D290" s="914">
        <f>E290+F290+G290+H290</f>
        <v>14816</v>
      </c>
      <c r="E290" s="621">
        <v>9829</v>
      </c>
      <c r="F290" s="621">
        <v>4987</v>
      </c>
      <c r="G290" s="621"/>
      <c r="H290" s="621"/>
      <c r="I290" s="1247"/>
      <c r="J290" s="1248"/>
      <c r="K290" s="1248"/>
      <c r="L290" s="1249"/>
      <c r="M290" s="750">
        <f t="shared" si="5"/>
        <v>29632</v>
      </c>
    </row>
    <row r="291" spans="1:13" x14ac:dyDescent="0.25">
      <c r="A291" s="751" t="s">
        <v>528</v>
      </c>
      <c r="B291" s="751"/>
      <c r="C291" s="745" t="s">
        <v>1070</v>
      </c>
      <c r="D291" s="914">
        <f t="shared" ref="D291:D354" si="6">E291+F291+G291+H291</f>
        <v>14816</v>
      </c>
      <c r="E291" s="621">
        <v>9829</v>
      </c>
      <c r="F291" s="621">
        <v>4987</v>
      </c>
      <c r="G291" s="621"/>
      <c r="H291" s="621"/>
      <c r="I291" s="1247"/>
      <c r="J291" s="1248"/>
      <c r="K291" s="1248"/>
      <c r="L291" s="1249"/>
      <c r="M291" s="750">
        <f t="shared" si="5"/>
        <v>29632</v>
      </c>
    </row>
    <row r="292" spans="1:13" x14ac:dyDescent="0.25">
      <c r="A292" s="751" t="s">
        <v>529</v>
      </c>
      <c r="B292" s="751"/>
      <c r="C292" s="745" t="s">
        <v>1071</v>
      </c>
      <c r="D292" s="914">
        <f t="shared" si="6"/>
        <v>118530</v>
      </c>
      <c r="E292" s="621">
        <v>68802</v>
      </c>
      <c r="F292" s="621">
        <v>34912</v>
      </c>
      <c r="G292" s="621">
        <v>9829</v>
      </c>
      <c r="H292" s="621">
        <v>4987</v>
      </c>
      <c r="I292" s="1247"/>
      <c r="J292" s="1248"/>
      <c r="K292" s="1248"/>
      <c r="L292" s="1249"/>
      <c r="M292" s="750">
        <f t="shared" si="5"/>
        <v>237060</v>
      </c>
    </row>
    <row r="293" spans="1:13" x14ac:dyDescent="0.25">
      <c r="A293" s="751" t="s">
        <v>530</v>
      </c>
      <c r="B293" s="751"/>
      <c r="C293" s="745" t="s">
        <v>1072</v>
      </c>
      <c r="D293" s="914">
        <f t="shared" si="6"/>
        <v>148164</v>
      </c>
      <c r="E293" s="621">
        <v>98289</v>
      </c>
      <c r="F293" s="621">
        <v>49875</v>
      </c>
      <c r="G293" s="621"/>
      <c r="H293" s="621"/>
      <c r="I293" s="1247"/>
      <c r="J293" s="1248"/>
      <c r="K293" s="1248"/>
      <c r="L293" s="1249"/>
      <c r="M293" s="750">
        <f t="shared" si="5"/>
        <v>296328</v>
      </c>
    </row>
    <row r="294" spans="1:13" x14ac:dyDescent="0.25">
      <c r="A294" s="751" t="s">
        <v>531</v>
      </c>
      <c r="B294" s="751"/>
      <c r="C294" s="745" t="s">
        <v>1073</v>
      </c>
      <c r="D294" s="914">
        <f t="shared" si="6"/>
        <v>59266</v>
      </c>
      <c r="E294" s="621">
        <v>19658</v>
      </c>
      <c r="F294" s="621">
        <v>9975</v>
      </c>
      <c r="G294" s="621">
        <v>19658</v>
      </c>
      <c r="H294" s="621">
        <v>9975</v>
      </c>
      <c r="I294" s="1247"/>
      <c r="J294" s="1248"/>
      <c r="K294" s="1248"/>
      <c r="L294" s="1249"/>
      <c r="M294" s="750">
        <f t="shared" si="5"/>
        <v>118532</v>
      </c>
    </row>
    <row r="295" spans="1:13" hidden="1" x14ac:dyDescent="0.25">
      <c r="A295" s="751" t="s">
        <v>532</v>
      </c>
      <c r="B295" s="751"/>
      <c r="C295" s="745" t="s">
        <v>1074</v>
      </c>
      <c r="D295" s="762">
        <f t="shared" si="6"/>
        <v>0</v>
      </c>
      <c r="E295" s="873"/>
      <c r="F295" s="873"/>
      <c r="G295" s="873"/>
      <c r="H295" s="873"/>
      <c r="I295" s="1247"/>
      <c r="J295" s="1248"/>
      <c r="K295" s="1248"/>
      <c r="L295" s="1249"/>
      <c r="M295" s="750">
        <f t="shared" si="5"/>
        <v>0</v>
      </c>
    </row>
    <row r="296" spans="1:13" x14ac:dyDescent="0.25">
      <c r="A296" s="751" t="s">
        <v>533</v>
      </c>
      <c r="B296" s="751"/>
      <c r="C296" s="745" t="s">
        <v>1075</v>
      </c>
      <c r="D296" s="914">
        <f t="shared" si="6"/>
        <v>118531</v>
      </c>
      <c r="E296" s="621">
        <v>78631</v>
      </c>
      <c r="F296" s="621">
        <v>39900</v>
      </c>
      <c r="G296" s="621"/>
      <c r="H296" s="621"/>
      <c r="I296" s="1247"/>
      <c r="J296" s="1248"/>
      <c r="K296" s="1248"/>
      <c r="L296" s="1249"/>
      <c r="M296" s="750">
        <f t="shared" si="5"/>
        <v>237062</v>
      </c>
    </row>
    <row r="297" spans="1:13" x14ac:dyDescent="0.25">
      <c r="A297" s="751" t="s">
        <v>534</v>
      </c>
      <c r="B297" s="751"/>
      <c r="C297" s="745" t="s">
        <v>1076</v>
      </c>
      <c r="D297" s="914">
        <f t="shared" si="6"/>
        <v>59266</v>
      </c>
      <c r="E297" s="621">
        <v>39316</v>
      </c>
      <c r="F297" s="621">
        <v>19950</v>
      </c>
      <c r="G297" s="621"/>
      <c r="H297" s="621"/>
      <c r="I297" s="1247"/>
      <c r="J297" s="1248"/>
      <c r="K297" s="1248"/>
      <c r="L297" s="1249"/>
      <c r="M297" s="750">
        <f t="shared" si="5"/>
        <v>118532</v>
      </c>
    </row>
    <row r="298" spans="1:13" x14ac:dyDescent="0.25">
      <c r="A298" s="751" t="s">
        <v>535</v>
      </c>
      <c r="B298" s="751"/>
      <c r="C298" s="745" t="s">
        <v>1077</v>
      </c>
      <c r="D298" s="914">
        <f t="shared" si="6"/>
        <v>44449</v>
      </c>
      <c r="E298" s="621">
        <v>29487</v>
      </c>
      <c r="F298" s="621">
        <v>14962</v>
      </c>
      <c r="G298" s="621"/>
      <c r="H298" s="621"/>
      <c r="I298" s="1247"/>
      <c r="J298" s="1248"/>
      <c r="K298" s="1248"/>
      <c r="L298" s="1249"/>
      <c r="M298" s="750">
        <f t="shared" si="5"/>
        <v>88898</v>
      </c>
    </row>
    <row r="299" spans="1:13" x14ac:dyDescent="0.25">
      <c r="A299" s="751" t="s">
        <v>536</v>
      </c>
      <c r="B299" s="751"/>
      <c r="C299" s="745" t="s">
        <v>1078</v>
      </c>
      <c r="D299" s="914">
        <f t="shared" si="6"/>
        <v>311144</v>
      </c>
      <c r="E299" s="621">
        <v>117947</v>
      </c>
      <c r="F299" s="621">
        <v>59850</v>
      </c>
      <c r="G299" s="621">
        <v>88460</v>
      </c>
      <c r="H299" s="621">
        <v>44887</v>
      </c>
      <c r="I299" s="1247"/>
      <c r="J299" s="1248"/>
      <c r="K299" s="1248"/>
      <c r="L299" s="1249"/>
      <c r="M299" s="750">
        <f t="shared" si="5"/>
        <v>622288</v>
      </c>
    </row>
    <row r="300" spans="1:13" x14ac:dyDescent="0.25">
      <c r="A300" s="751" t="s">
        <v>537</v>
      </c>
      <c r="B300" s="751"/>
      <c r="C300" s="745" t="s">
        <v>1079</v>
      </c>
      <c r="D300" s="914">
        <f t="shared" si="6"/>
        <v>814901</v>
      </c>
      <c r="E300" s="621">
        <v>216236</v>
      </c>
      <c r="F300" s="621">
        <v>109725</v>
      </c>
      <c r="G300" s="621">
        <v>324353</v>
      </c>
      <c r="H300" s="621">
        <v>164587</v>
      </c>
      <c r="I300" s="1247"/>
      <c r="J300" s="1248"/>
      <c r="K300" s="1248"/>
      <c r="L300" s="1249"/>
      <c r="M300" s="750">
        <f t="shared" si="5"/>
        <v>1629802</v>
      </c>
    </row>
    <row r="301" spans="1:13" x14ac:dyDescent="0.25">
      <c r="A301" s="751" t="s">
        <v>538</v>
      </c>
      <c r="B301" s="751"/>
      <c r="C301" s="745" t="s">
        <v>1080</v>
      </c>
      <c r="D301" s="914">
        <f t="shared" si="6"/>
        <v>844534</v>
      </c>
      <c r="E301" s="621">
        <v>432471</v>
      </c>
      <c r="F301" s="621">
        <v>219450</v>
      </c>
      <c r="G301" s="621">
        <v>127776</v>
      </c>
      <c r="H301" s="621">
        <v>64837</v>
      </c>
      <c r="I301" s="1247"/>
      <c r="J301" s="1248"/>
      <c r="K301" s="1248"/>
      <c r="L301" s="1249"/>
      <c r="M301" s="750">
        <f t="shared" si="5"/>
        <v>1689068</v>
      </c>
    </row>
    <row r="302" spans="1:13" x14ac:dyDescent="0.25">
      <c r="A302" s="751" t="s">
        <v>539</v>
      </c>
      <c r="B302" s="751"/>
      <c r="C302" s="745" t="s">
        <v>1081</v>
      </c>
      <c r="D302" s="914">
        <f t="shared" si="6"/>
        <v>311144</v>
      </c>
      <c r="E302" s="621">
        <v>176920</v>
      </c>
      <c r="F302" s="621">
        <v>89775</v>
      </c>
      <c r="G302" s="621">
        <v>29487</v>
      </c>
      <c r="H302" s="621">
        <v>14962</v>
      </c>
      <c r="I302" s="1247"/>
      <c r="J302" s="1248"/>
      <c r="K302" s="1248"/>
      <c r="L302" s="1249"/>
      <c r="M302" s="750">
        <f t="shared" si="5"/>
        <v>622288</v>
      </c>
    </row>
    <row r="303" spans="1:13" x14ac:dyDescent="0.25">
      <c r="A303" s="751" t="s">
        <v>540</v>
      </c>
      <c r="B303" s="751"/>
      <c r="C303" s="745" t="s">
        <v>1082</v>
      </c>
      <c r="D303" s="914">
        <f t="shared" si="6"/>
        <v>192613</v>
      </c>
      <c r="E303" s="621">
        <v>127776</v>
      </c>
      <c r="F303" s="621">
        <v>64837</v>
      </c>
      <c r="G303" s="621"/>
      <c r="H303" s="621"/>
      <c r="I303" s="1247"/>
      <c r="J303" s="1248"/>
      <c r="K303" s="1248"/>
      <c r="L303" s="1249"/>
      <c r="M303" s="750">
        <f t="shared" si="5"/>
        <v>385226</v>
      </c>
    </row>
    <row r="304" spans="1:13" x14ac:dyDescent="0.25">
      <c r="A304" s="751" t="s">
        <v>541</v>
      </c>
      <c r="B304" s="751"/>
      <c r="C304" s="745" t="s">
        <v>1083</v>
      </c>
      <c r="D304" s="914">
        <f t="shared" si="6"/>
        <v>103715</v>
      </c>
      <c r="E304" s="621">
        <v>29487</v>
      </c>
      <c r="F304" s="621">
        <v>14962</v>
      </c>
      <c r="G304" s="621">
        <v>39316</v>
      </c>
      <c r="H304" s="621">
        <v>19950</v>
      </c>
      <c r="I304" s="1247"/>
      <c r="J304" s="1248"/>
      <c r="K304" s="1248"/>
      <c r="L304" s="1249"/>
      <c r="M304" s="750">
        <f t="shared" si="5"/>
        <v>207430</v>
      </c>
    </row>
    <row r="305" spans="1:13" x14ac:dyDescent="0.25">
      <c r="A305" s="751" t="s">
        <v>542</v>
      </c>
      <c r="B305" s="751"/>
      <c r="C305" s="745" t="s">
        <v>1084</v>
      </c>
      <c r="D305" s="914">
        <f t="shared" si="6"/>
        <v>207429</v>
      </c>
      <c r="E305" s="621">
        <v>108118</v>
      </c>
      <c r="F305" s="621">
        <v>54862</v>
      </c>
      <c r="G305" s="621">
        <v>29487</v>
      </c>
      <c r="H305" s="621">
        <v>14962</v>
      </c>
      <c r="I305" s="1247"/>
      <c r="J305" s="1248"/>
      <c r="K305" s="1248"/>
      <c r="L305" s="1249"/>
      <c r="M305" s="750">
        <f t="shared" si="5"/>
        <v>414858</v>
      </c>
    </row>
    <row r="306" spans="1:13" x14ac:dyDescent="0.25">
      <c r="A306" s="751" t="s">
        <v>543</v>
      </c>
      <c r="B306" s="751"/>
      <c r="C306" s="745" t="s">
        <v>1085</v>
      </c>
      <c r="D306" s="914">
        <f t="shared" si="6"/>
        <v>162980</v>
      </c>
      <c r="E306" s="621">
        <v>78631</v>
      </c>
      <c r="F306" s="621">
        <v>39900</v>
      </c>
      <c r="G306" s="621">
        <v>29487</v>
      </c>
      <c r="H306" s="621">
        <v>14962</v>
      </c>
      <c r="I306" s="1247"/>
      <c r="J306" s="1248"/>
      <c r="K306" s="1248"/>
      <c r="L306" s="1249"/>
      <c r="M306" s="750">
        <f t="shared" si="5"/>
        <v>325960</v>
      </c>
    </row>
    <row r="307" spans="1:13" x14ac:dyDescent="0.25">
      <c r="A307" s="751" t="s">
        <v>544</v>
      </c>
      <c r="B307" s="751"/>
      <c r="C307" s="745" t="s">
        <v>1086</v>
      </c>
      <c r="D307" s="914">
        <f t="shared" si="6"/>
        <v>133347</v>
      </c>
      <c r="E307" s="621">
        <v>39316</v>
      </c>
      <c r="F307" s="621">
        <v>19950</v>
      </c>
      <c r="G307" s="621">
        <v>49144</v>
      </c>
      <c r="H307" s="621">
        <v>24937</v>
      </c>
      <c r="I307" s="1247"/>
      <c r="J307" s="1248"/>
      <c r="K307" s="1248"/>
      <c r="L307" s="1249"/>
      <c r="M307" s="750">
        <f t="shared" si="5"/>
        <v>266694</v>
      </c>
    </row>
    <row r="308" spans="1:13" x14ac:dyDescent="0.25">
      <c r="A308" s="751" t="s">
        <v>545</v>
      </c>
      <c r="B308" s="751"/>
      <c r="C308" s="745" t="s">
        <v>1087</v>
      </c>
      <c r="D308" s="914">
        <f t="shared" si="6"/>
        <v>222246</v>
      </c>
      <c r="E308" s="621">
        <v>127776</v>
      </c>
      <c r="F308" s="621">
        <v>64837</v>
      </c>
      <c r="G308" s="621">
        <v>19658</v>
      </c>
      <c r="H308" s="621">
        <v>9975</v>
      </c>
      <c r="I308" s="1247"/>
      <c r="J308" s="1248"/>
      <c r="K308" s="1248"/>
      <c r="L308" s="1249"/>
      <c r="M308" s="750">
        <f t="shared" si="5"/>
        <v>444492</v>
      </c>
    </row>
    <row r="309" spans="1:13" x14ac:dyDescent="0.25">
      <c r="A309" s="751" t="s">
        <v>546</v>
      </c>
      <c r="B309" s="751"/>
      <c r="C309" s="745" t="s">
        <v>1088</v>
      </c>
      <c r="D309" s="914">
        <f t="shared" si="6"/>
        <v>29633</v>
      </c>
      <c r="E309" s="621">
        <v>19658</v>
      </c>
      <c r="F309" s="621">
        <v>9975</v>
      </c>
      <c r="G309" s="621"/>
      <c r="H309" s="621"/>
      <c r="I309" s="1247"/>
      <c r="J309" s="1248"/>
      <c r="K309" s="1248"/>
      <c r="L309" s="1249"/>
      <c r="M309" s="750">
        <f t="shared" si="5"/>
        <v>59266</v>
      </c>
    </row>
    <row r="310" spans="1:13" x14ac:dyDescent="0.25">
      <c r="A310" s="751" t="s">
        <v>547</v>
      </c>
      <c r="B310" s="751"/>
      <c r="C310" s="745" t="s">
        <v>1089</v>
      </c>
      <c r="D310" s="914">
        <f t="shared" si="6"/>
        <v>44449</v>
      </c>
      <c r="E310" s="621">
        <v>29487</v>
      </c>
      <c r="F310" s="621">
        <v>14962</v>
      </c>
      <c r="G310" s="621"/>
      <c r="H310" s="621"/>
      <c r="I310" s="1247"/>
      <c r="J310" s="1248"/>
      <c r="K310" s="1248"/>
      <c r="L310" s="1249"/>
      <c r="M310" s="750">
        <f t="shared" si="5"/>
        <v>88898</v>
      </c>
    </row>
    <row r="311" spans="1:13" x14ac:dyDescent="0.25">
      <c r="A311" s="751" t="s">
        <v>548</v>
      </c>
      <c r="B311" s="751"/>
      <c r="C311" s="745" t="s">
        <v>1090</v>
      </c>
      <c r="D311" s="914">
        <f t="shared" si="6"/>
        <v>44449</v>
      </c>
      <c r="E311" s="621">
        <v>9829</v>
      </c>
      <c r="F311" s="621">
        <v>4987</v>
      </c>
      <c r="G311" s="621">
        <v>19658</v>
      </c>
      <c r="H311" s="621">
        <v>9975</v>
      </c>
      <c r="I311" s="1247"/>
      <c r="J311" s="1248"/>
      <c r="K311" s="1248"/>
      <c r="L311" s="1249"/>
      <c r="M311" s="750">
        <f t="shared" si="5"/>
        <v>88898</v>
      </c>
    </row>
    <row r="312" spans="1:13" x14ac:dyDescent="0.25">
      <c r="A312" s="751" t="s">
        <v>549</v>
      </c>
      <c r="B312" s="751"/>
      <c r="C312" s="745" t="s">
        <v>1091</v>
      </c>
      <c r="D312" s="914">
        <f t="shared" si="6"/>
        <v>74081</v>
      </c>
      <c r="E312" s="621">
        <v>49144</v>
      </c>
      <c r="F312" s="621">
        <v>24937</v>
      </c>
      <c r="G312" s="621"/>
      <c r="H312" s="621"/>
      <c r="I312" s="1247"/>
      <c r="J312" s="1248"/>
      <c r="K312" s="1248"/>
      <c r="L312" s="1249"/>
      <c r="M312" s="750">
        <f t="shared" si="5"/>
        <v>148162</v>
      </c>
    </row>
    <row r="313" spans="1:13" x14ac:dyDescent="0.25">
      <c r="A313" s="751" t="s">
        <v>550</v>
      </c>
      <c r="B313" s="751"/>
      <c r="C313" s="745" t="s">
        <v>1092</v>
      </c>
      <c r="D313" s="914">
        <f t="shared" si="6"/>
        <v>29632</v>
      </c>
      <c r="E313" s="621">
        <v>9829</v>
      </c>
      <c r="F313" s="621">
        <v>4987</v>
      </c>
      <c r="G313" s="621">
        <v>9829</v>
      </c>
      <c r="H313" s="621">
        <v>4987</v>
      </c>
      <c r="I313" s="1247"/>
      <c r="J313" s="1248"/>
      <c r="K313" s="1248"/>
      <c r="L313" s="1249"/>
      <c r="M313" s="750">
        <f t="shared" si="5"/>
        <v>59264</v>
      </c>
    </row>
    <row r="314" spans="1:13" x14ac:dyDescent="0.25">
      <c r="A314" s="751" t="s">
        <v>551</v>
      </c>
      <c r="B314" s="751"/>
      <c r="C314" s="745" t="s">
        <v>1093</v>
      </c>
      <c r="D314" s="914">
        <f t="shared" si="6"/>
        <v>14816</v>
      </c>
      <c r="E314" s="621">
        <v>9829</v>
      </c>
      <c r="F314" s="621">
        <v>4987</v>
      </c>
      <c r="G314" s="621"/>
      <c r="H314" s="621"/>
      <c r="I314" s="1247"/>
      <c r="J314" s="1248"/>
      <c r="K314" s="1248"/>
      <c r="L314" s="1249"/>
      <c r="M314" s="750">
        <f t="shared" si="5"/>
        <v>29632</v>
      </c>
    </row>
    <row r="315" spans="1:13" x14ac:dyDescent="0.25">
      <c r="A315" s="751" t="s">
        <v>552</v>
      </c>
      <c r="B315" s="751"/>
      <c r="C315" s="745" t="s">
        <v>1094</v>
      </c>
      <c r="D315" s="914">
        <f t="shared" si="6"/>
        <v>88897</v>
      </c>
      <c r="E315" s="621">
        <v>49144</v>
      </c>
      <c r="F315" s="621">
        <v>24937</v>
      </c>
      <c r="G315" s="621">
        <v>9829</v>
      </c>
      <c r="H315" s="621">
        <v>4987</v>
      </c>
      <c r="I315" s="1247"/>
      <c r="J315" s="1248"/>
      <c r="K315" s="1248"/>
      <c r="L315" s="1249"/>
      <c r="M315" s="750">
        <f t="shared" si="5"/>
        <v>177794</v>
      </c>
    </row>
    <row r="316" spans="1:13" hidden="1" x14ac:dyDescent="0.25">
      <c r="A316" s="751" t="s">
        <v>553</v>
      </c>
      <c r="B316" s="751"/>
      <c r="C316" s="745" t="s">
        <v>1095</v>
      </c>
      <c r="D316" s="762">
        <f t="shared" si="6"/>
        <v>0</v>
      </c>
      <c r="E316" s="873"/>
      <c r="F316" s="873"/>
      <c r="G316" s="873"/>
      <c r="H316" s="873"/>
      <c r="I316" s="1247"/>
      <c r="J316" s="1248"/>
      <c r="K316" s="1248"/>
      <c r="L316" s="1249"/>
      <c r="M316" s="750">
        <f t="shared" si="5"/>
        <v>0</v>
      </c>
    </row>
    <row r="317" spans="1:13" x14ac:dyDescent="0.25">
      <c r="A317" s="751" t="s">
        <v>554</v>
      </c>
      <c r="B317" s="751"/>
      <c r="C317" s="745" t="s">
        <v>1096</v>
      </c>
      <c r="D317" s="914">
        <f t="shared" si="6"/>
        <v>74081</v>
      </c>
      <c r="E317" s="621">
        <v>49144</v>
      </c>
      <c r="F317" s="621">
        <v>24937</v>
      </c>
      <c r="G317" s="621"/>
      <c r="H317" s="621"/>
      <c r="I317" s="1247"/>
      <c r="J317" s="1248"/>
      <c r="K317" s="1248"/>
      <c r="L317" s="1249"/>
      <c r="M317" s="750">
        <f t="shared" si="5"/>
        <v>148162</v>
      </c>
    </row>
    <row r="318" spans="1:13" x14ac:dyDescent="0.25">
      <c r="A318" s="751" t="s">
        <v>555</v>
      </c>
      <c r="B318" s="751"/>
      <c r="C318" s="745" t="s">
        <v>1097</v>
      </c>
      <c r="D318" s="914">
        <f t="shared" si="6"/>
        <v>192613</v>
      </c>
      <c r="E318" s="621">
        <v>117947</v>
      </c>
      <c r="F318" s="621">
        <v>59850</v>
      </c>
      <c r="G318" s="621">
        <v>9829</v>
      </c>
      <c r="H318" s="621">
        <v>4987</v>
      </c>
      <c r="I318" s="1247"/>
      <c r="J318" s="1248"/>
      <c r="K318" s="1248"/>
      <c r="L318" s="1249"/>
      <c r="M318" s="750">
        <f t="shared" si="5"/>
        <v>385226</v>
      </c>
    </row>
    <row r="319" spans="1:13" x14ac:dyDescent="0.25">
      <c r="A319" s="751" t="s">
        <v>556</v>
      </c>
      <c r="B319" s="751"/>
      <c r="C319" s="745" t="s">
        <v>1098</v>
      </c>
      <c r="D319" s="914">
        <f t="shared" si="6"/>
        <v>59265</v>
      </c>
      <c r="E319" s="621">
        <v>29487</v>
      </c>
      <c r="F319" s="621">
        <v>14962</v>
      </c>
      <c r="G319" s="621">
        <v>9829</v>
      </c>
      <c r="H319" s="621">
        <v>4987</v>
      </c>
      <c r="I319" s="1247"/>
      <c r="J319" s="1248"/>
      <c r="K319" s="1248"/>
      <c r="L319" s="1249"/>
      <c r="M319" s="750">
        <f t="shared" si="5"/>
        <v>118530</v>
      </c>
    </row>
    <row r="320" spans="1:13" x14ac:dyDescent="0.25">
      <c r="A320" s="751" t="s">
        <v>557</v>
      </c>
      <c r="B320" s="751"/>
      <c r="C320" s="745" t="s">
        <v>1099</v>
      </c>
      <c r="D320" s="914">
        <f t="shared" si="6"/>
        <v>222245</v>
      </c>
      <c r="E320" s="621">
        <v>147433</v>
      </c>
      <c r="F320" s="621">
        <v>74812</v>
      </c>
      <c r="G320" s="621"/>
      <c r="H320" s="621"/>
      <c r="I320" s="1247"/>
      <c r="J320" s="1248"/>
      <c r="K320" s="1248"/>
      <c r="L320" s="1249"/>
      <c r="M320" s="750">
        <f t="shared" si="5"/>
        <v>444490</v>
      </c>
    </row>
    <row r="321" spans="1:13" x14ac:dyDescent="0.25">
      <c r="A321" s="751" t="s">
        <v>558</v>
      </c>
      <c r="B321" s="751"/>
      <c r="C321" s="745" t="s">
        <v>1100</v>
      </c>
      <c r="D321" s="914">
        <f t="shared" si="6"/>
        <v>207428</v>
      </c>
      <c r="E321" s="621">
        <v>68802</v>
      </c>
      <c r="F321" s="621">
        <v>34912</v>
      </c>
      <c r="G321" s="621">
        <v>68802</v>
      </c>
      <c r="H321" s="621">
        <v>34912</v>
      </c>
      <c r="I321" s="1247"/>
      <c r="J321" s="1248"/>
      <c r="K321" s="1248"/>
      <c r="L321" s="1249"/>
      <c r="M321" s="750">
        <f t="shared" si="5"/>
        <v>414856</v>
      </c>
    </row>
    <row r="322" spans="1:13" x14ac:dyDescent="0.25">
      <c r="A322" s="751" t="s">
        <v>559</v>
      </c>
      <c r="B322" s="751"/>
      <c r="C322" s="745" t="s">
        <v>1101</v>
      </c>
      <c r="D322" s="914">
        <f t="shared" si="6"/>
        <v>370409</v>
      </c>
      <c r="E322" s="621">
        <v>245722</v>
      </c>
      <c r="F322" s="621">
        <v>124687</v>
      </c>
      <c r="G322" s="621"/>
      <c r="H322" s="621"/>
      <c r="I322" s="1247"/>
      <c r="J322" s="1248"/>
      <c r="K322" s="1248"/>
      <c r="L322" s="1249"/>
      <c r="M322" s="750">
        <f t="shared" si="5"/>
        <v>740818</v>
      </c>
    </row>
    <row r="323" spans="1:13" x14ac:dyDescent="0.25">
      <c r="A323" s="751" t="s">
        <v>560</v>
      </c>
      <c r="B323" s="751"/>
      <c r="C323" s="745" t="s">
        <v>1102</v>
      </c>
      <c r="D323" s="914">
        <f t="shared" si="6"/>
        <v>44449</v>
      </c>
      <c r="E323" s="621">
        <v>29487</v>
      </c>
      <c r="F323" s="621">
        <v>14962</v>
      </c>
      <c r="G323" s="621"/>
      <c r="H323" s="621"/>
      <c r="I323" s="1247"/>
      <c r="J323" s="1248"/>
      <c r="K323" s="1248"/>
      <c r="L323" s="1249"/>
      <c r="M323" s="750">
        <f t="shared" si="5"/>
        <v>88898</v>
      </c>
    </row>
    <row r="324" spans="1:13" x14ac:dyDescent="0.25">
      <c r="A324" s="751" t="s">
        <v>561</v>
      </c>
      <c r="B324" s="751"/>
      <c r="C324" s="745" t="s">
        <v>1103</v>
      </c>
      <c r="D324" s="914">
        <f t="shared" si="6"/>
        <v>251878</v>
      </c>
      <c r="E324" s="621">
        <v>167091</v>
      </c>
      <c r="F324" s="621">
        <v>84787</v>
      </c>
      <c r="G324" s="621"/>
      <c r="H324" s="621"/>
      <c r="I324" s="1247"/>
      <c r="J324" s="1248"/>
      <c r="K324" s="1248"/>
      <c r="L324" s="1249"/>
      <c r="M324" s="750">
        <f t="shared" si="5"/>
        <v>503756</v>
      </c>
    </row>
    <row r="325" spans="1:13" x14ac:dyDescent="0.25">
      <c r="A325" s="751" t="s">
        <v>562</v>
      </c>
      <c r="B325" s="751"/>
      <c r="C325" s="745" t="s">
        <v>1104</v>
      </c>
      <c r="D325" s="914">
        <f t="shared" si="6"/>
        <v>844533</v>
      </c>
      <c r="E325" s="621">
        <v>511102</v>
      </c>
      <c r="F325" s="621">
        <v>259350</v>
      </c>
      <c r="G325" s="621">
        <v>49144</v>
      </c>
      <c r="H325" s="621">
        <v>24937</v>
      </c>
      <c r="I325" s="1247"/>
      <c r="J325" s="1248"/>
      <c r="K325" s="1248"/>
      <c r="L325" s="1249"/>
      <c r="M325" s="750">
        <f t="shared" si="5"/>
        <v>1689066</v>
      </c>
    </row>
    <row r="326" spans="1:13" x14ac:dyDescent="0.25">
      <c r="A326" s="751" t="s">
        <v>563</v>
      </c>
      <c r="B326" s="751"/>
      <c r="C326" s="745" t="s">
        <v>1105</v>
      </c>
      <c r="D326" s="914">
        <f t="shared" si="6"/>
        <v>118531</v>
      </c>
      <c r="E326" s="621">
        <v>78631</v>
      </c>
      <c r="F326" s="621">
        <v>39900</v>
      </c>
      <c r="G326" s="621"/>
      <c r="H326" s="621"/>
      <c r="I326" s="1247"/>
      <c r="J326" s="1248"/>
      <c r="K326" s="1248"/>
      <c r="L326" s="1249"/>
      <c r="M326" s="750">
        <f t="shared" si="5"/>
        <v>237062</v>
      </c>
    </row>
    <row r="327" spans="1:13" x14ac:dyDescent="0.25">
      <c r="A327" s="751" t="s">
        <v>564</v>
      </c>
      <c r="B327" s="751"/>
      <c r="C327" s="745" t="s">
        <v>1106</v>
      </c>
      <c r="D327" s="914">
        <f t="shared" si="6"/>
        <v>325961</v>
      </c>
      <c r="E327" s="621">
        <v>176920</v>
      </c>
      <c r="F327" s="621">
        <v>89775</v>
      </c>
      <c r="G327" s="621">
        <v>39316</v>
      </c>
      <c r="H327" s="621">
        <v>19950</v>
      </c>
      <c r="I327" s="1247"/>
      <c r="J327" s="1248"/>
      <c r="K327" s="1248"/>
      <c r="L327" s="1249"/>
      <c r="M327" s="750">
        <f t="shared" ref="M327:M390" si="7">SUM(D327:H327)</f>
        <v>651922</v>
      </c>
    </row>
    <row r="328" spans="1:13" x14ac:dyDescent="0.25">
      <c r="A328" s="751" t="s">
        <v>565</v>
      </c>
      <c r="B328" s="751"/>
      <c r="C328" s="745" t="s">
        <v>1107</v>
      </c>
      <c r="D328" s="914">
        <f t="shared" si="6"/>
        <v>488941</v>
      </c>
      <c r="E328" s="621">
        <v>216236</v>
      </c>
      <c r="F328" s="621">
        <v>109725</v>
      </c>
      <c r="G328" s="621">
        <v>108118</v>
      </c>
      <c r="H328" s="621">
        <v>54862</v>
      </c>
      <c r="I328" s="1247"/>
      <c r="J328" s="1248"/>
      <c r="K328" s="1248"/>
      <c r="L328" s="1249"/>
      <c r="M328" s="750">
        <f t="shared" si="7"/>
        <v>977882</v>
      </c>
    </row>
    <row r="329" spans="1:13" x14ac:dyDescent="0.25">
      <c r="A329" s="751" t="s">
        <v>566</v>
      </c>
      <c r="B329" s="751"/>
      <c r="C329" s="745" t="s">
        <v>1108</v>
      </c>
      <c r="D329" s="914">
        <f t="shared" si="6"/>
        <v>133347</v>
      </c>
      <c r="E329" s="621">
        <v>78631</v>
      </c>
      <c r="F329" s="621">
        <v>39900</v>
      </c>
      <c r="G329" s="621">
        <v>9829</v>
      </c>
      <c r="H329" s="621">
        <v>4987</v>
      </c>
      <c r="I329" s="1247"/>
      <c r="J329" s="1248"/>
      <c r="K329" s="1248"/>
      <c r="L329" s="1249"/>
      <c r="M329" s="750">
        <f t="shared" si="7"/>
        <v>266694</v>
      </c>
    </row>
    <row r="330" spans="1:13" x14ac:dyDescent="0.25">
      <c r="A330" s="751" t="s">
        <v>567</v>
      </c>
      <c r="B330" s="751"/>
      <c r="C330" s="745" t="s">
        <v>1109</v>
      </c>
      <c r="D330" s="914">
        <f t="shared" si="6"/>
        <v>74082</v>
      </c>
      <c r="E330" s="621">
        <v>39316</v>
      </c>
      <c r="F330" s="621">
        <v>19950</v>
      </c>
      <c r="G330" s="621">
        <v>9829</v>
      </c>
      <c r="H330" s="621">
        <v>4987</v>
      </c>
      <c r="I330" s="1247"/>
      <c r="J330" s="1248"/>
      <c r="K330" s="1248"/>
      <c r="L330" s="1249"/>
      <c r="M330" s="750">
        <f t="shared" si="7"/>
        <v>148164</v>
      </c>
    </row>
    <row r="331" spans="1:13" x14ac:dyDescent="0.25">
      <c r="A331" s="751" t="s">
        <v>780</v>
      </c>
      <c r="B331" s="751"/>
      <c r="C331" s="745" t="s">
        <v>1110</v>
      </c>
      <c r="D331" s="914">
        <f t="shared" si="6"/>
        <v>88898</v>
      </c>
      <c r="E331" s="621">
        <v>58973</v>
      </c>
      <c r="F331" s="621">
        <v>29925</v>
      </c>
      <c r="G331" s="621"/>
      <c r="H331" s="621"/>
      <c r="I331" s="1247"/>
      <c r="J331" s="1248"/>
      <c r="K331" s="1248"/>
      <c r="L331" s="1249"/>
      <c r="M331" s="750">
        <f t="shared" si="7"/>
        <v>177796</v>
      </c>
    </row>
    <row r="332" spans="1:13" x14ac:dyDescent="0.25">
      <c r="A332" s="751" t="s">
        <v>781</v>
      </c>
      <c r="B332" s="751"/>
      <c r="C332" s="745" t="s">
        <v>1111</v>
      </c>
      <c r="D332" s="914">
        <f t="shared" si="6"/>
        <v>74081</v>
      </c>
      <c r="E332" s="621">
        <v>49144</v>
      </c>
      <c r="F332" s="621">
        <v>24937</v>
      </c>
      <c r="G332" s="621"/>
      <c r="H332" s="621"/>
      <c r="I332" s="1247"/>
      <c r="J332" s="1248"/>
      <c r="K332" s="1248"/>
      <c r="L332" s="1249"/>
      <c r="M332" s="750">
        <f t="shared" si="7"/>
        <v>148162</v>
      </c>
    </row>
    <row r="333" spans="1:13" x14ac:dyDescent="0.25">
      <c r="A333" s="751" t="s">
        <v>782</v>
      </c>
      <c r="B333" s="751"/>
      <c r="C333" s="745" t="s">
        <v>1112</v>
      </c>
      <c r="D333" s="914">
        <f t="shared" si="6"/>
        <v>133347</v>
      </c>
      <c r="E333" s="621">
        <v>78631</v>
      </c>
      <c r="F333" s="621">
        <v>39900</v>
      </c>
      <c r="G333" s="621">
        <v>9829</v>
      </c>
      <c r="H333" s="621">
        <v>4987</v>
      </c>
      <c r="I333" s="1247"/>
      <c r="J333" s="1248"/>
      <c r="K333" s="1248"/>
      <c r="L333" s="1249"/>
      <c r="M333" s="750">
        <f t="shared" si="7"/>
        <v>266694</v>
      </c>
    </row>
    <row r="334" spans="1:13" x14ac:dyDescent="0.25">
      <c r="A334" s="751" t="s">
        <v>783</v>
      </c>
      <c r="B334" s="751"/>
      <c r="C334" s="745" t="s">
        <v>1113</v>
      </c>
      <c r="D334" s="914">
        <f t="shared" si="6"/>
        <v>488940</v>
      </c>
      <c r="E334" s="621">
        <v>324353</v>
      </c>
      <c r="F334" s="621">
        <v>164587</v>
      </c>
      <c r="G334" s="621"/>
      <c r="H334" s="621"/>
      <c r="I334" s="1247"/>
      <c r="J334" s="1248"/>
      <c r="K334" s="1248"/>
      <c r="L334" s="1249"/>
      <c r="M334" s="750">
        <f t="shared" si="7"/>
        <v>977880</v>
      </c>
    </row>
    <row r="335" spans="1:13" x14ac:dyDescent="0.25">
      <c r="A335" s="751" t="s">
        <v>784</v>
      </c>
      <c r="B335" s="751"/>
      <c r="C335" s="745" t="s">
        <v>1114</v>
      </c>
      <c r="D335" s="914">
        <f t="shared" si="6"/>
        <v>311143</v>
      </c>
      <c r="E335" s="621">
        <v>147433</v>
      </c>
      <c r="F335" s="621">
        <v>74812</v>
      </c>
      <c r="G335" s="621">
        <v>58973</v>
      </c>
      <c r="H335" s="621">
        <v>29925</v>
      </c>
      <c r="I335" s="1247"/>
      <c r="J335" s="1248"/>
      <c r="K335" s="1248"/>
      <c r="L335" s="1249"/>
      <c r="M335" s="750">
        <f t="shared" si="7"/>
        <v>622286</v>
      </c>
    </row>
    <row r="336" spans="1:13" hidden="1" x14ac:dyDescent="0.25">
      <c r="A336" s="751" t="s">
        <v>785</v>
      </c>
      <c r="B336" s="751"/>
      <c r="C336" s="745" t="s">
        <v>1115</v>
      </c>
      <c r="D336" s="762">
        <f t="shared" si="6"/>
        <v>0</v>
      </c>
      <c r="E336" s="873"/>
      <c r="F336" s="873"/>
      <c r="G336" s="873"/>
      <c r="H336" s="873"/>
      <c r="I336" s="1247"/>
      <c r="J336" s="1248"/>
      <c r="K336" s="1248"/>
      <c r="L336" s="1249"/>
      <c r="M336" s="750">
        <f t="shared" si="7"/>
        <v>0</v>
      </c>
    </row>
    <row r="337" spans="1:13" x14ac:dyDescent="0.25">
      <c r="A337" s="751" t="s">
        <v>910</v>
      </c>
      <c r="B337" s="751"/>
      <c r="C337" s="745" t="s">
        <v>1116</v>
      </c>
      <c r="D337" s="914">
        <f t="shared" si="6"/>
        <v>4785712</v>
      </c>
      <c r="E337" s="621">
        <v>2516191</v>
      </c>
      <c r="F337" s="621">
        <v>1276800</v>
      </c>
      <c r="G337" s="621">
        <v>658539</v>
      </c>
      <c r="H337" s="621">
        <v>334182</v>
      </c>
      <c r="I337" s="1247"/>
      <c r="J337" s="1248"/>
      <c r="K337" s="1248"/>
      <c r="L337" s="1249"/>
      <c r="M337" s="750">
        <f t="shared" si="7"/>
        <v>9571424</v>
      </c>
    </row>
    <row r="338" spans="1:13" x14ac:dyDescent="0.25">
      <c r="A338" s="751" t="s">
        <v>911</v>
      </c>
      <c r="B338" s="751"/>
      <c r="C338" s="745" t="s">
        <v>1117</v>
      </c>
      <c r="D338" s="914">
        <f t="shared" si="6"/>
        <v>1555730</v>
      </c>
      <c r="E338" s="621">
        <v>786311</v>
      </c>
      <c r="F338" s="621">
        <v>399000</v>
      </c>
      <c r="G338" s="621">
        <v>245722</v>
      </c>
      <c r="H338" s="621">
        <v>124697</v>
      </c>
      <c r="I338" s="1247"/>
      <c r="J338" s="1248"/>
      <c r="K338" s="1248"/>
      <c r="L338" s="1249"/>
      <c r="M338" s="750">
        <f t="shared" si="7"/>
        <v>3111460</v>
      </c>
    </row>
    <row r="339" spans="1:13" x14ac:dyDescent="0.25">
      <c r="A339" s="751" t="s">
        <v>1118</v>
      </c>
      <c r="B339" s="751"/>
      <c r="C339" s="745" t="s">
        <v>1119</v>
      </c>
      <c r="D339" s="914">
        <f t="shared" si="6"/>
        <v>148164</v>
      </c>
      <c r="E339" s="621">
        <v>98289</v>
      </c>
      <c r="F339" s="621">
        <v>49875</v>
      </c>
      <c r="G339" s="621"/>
      <c r="H339" s="621"/>
      <c r="I339" s="1247"/>
      <c r="J339" s="1248"/>
      <c r="K339" s="1248"/>
      <c r="L339" s="1249"/>
      <c r="M339" s="750">
        <f t="shared" si="7"/>
        <v>296328</v>
      </c>
    </row>
    <row r="340" spans="1:13" hidden="1" x14ac:dyDescent="0.25">
      <c r="A340" s="751" t="s">
        <v>1120</v>
      </c>
      <c r="B340" s="751"/>
      <c r="C340" s="745" t="s">
        <v>1121</v>
      </c>
      <c r="D340" s="762">
        <f t="shared" si="6"/>
        <v>0</v>
      </c>
      <c r="E340" s="873"/>
      <c r="F340" s="873"/>
      <c r="G340" s="873"/>
      <c r="H340" s="873"/>
      <c r="I340" s="1247"/>
      <c r="J340" s="1248"/>
      <c r="K340" s="1248"/>
      <c r="L340" s="1249"/>
      <c r="M340" s="750">
        <f t="shared" si="7"/>
        <v>0</v>
      </c>
    </row>
    <row r="341" spans="1:13" x14ac:dyDescent="0.25">
      <c r="A341" s="751" t="s">
        <v>1122</v>
      </c>
      <c r="B341" s="751"/>
      <c r="C341" s="745" t="s">
        <v>1123</v>
      </c>
      <c r="D341" s="914">
        <f t="shared" si="6"/>
        <v>59266</v>
      </c>
      <c r="E341" s="621">
        <v>39316</v>
      </c>
      <c r="F341" s="621">
        <v>19950</v>
      </c>
      <c r="G341" s="621"/>
      <c r="H341" s="621"/>
      <c r="I341" s="1247"/>
      <c r="J341" s="1248"/>
      <c r="K341" s="1248"/>
      <c r="L341" s="1249"/>
      <c r="M341" s="750">
        <f t="shared" si="7"/>
        <v>118532</v>
      </c>
    </row>
    <row r="342" spans="1:13" x14ac:dyDescent="0.25">
      <c r="A342" s="751" t="s">
        <v>1124</v>
      </c>
      <c r="B342" s="751"/>
      <c r="C342" s="745" t="s">
        <v>1125</v>
      </c>
      <c r="D342" s="914">
        <f t="shared" si="6"/>
        <v>355593</v>
      </c>
      <c r="E342" s="621">
        <v>176920</v>
      </c>
      <c r="F342" s="621">
        <v>89775</v>
      </c>
      <c r="G342" s="621">
        <v>58973</v>
      </c>
      <c r="H342" s="621">
        <v>29925</v>
      </c>
      <c r="I342" s="1247"/>
      <c r="J342" s="1248"/>
      <c r="K342" s="1248"/>
      <c r="L342" s="1249"/>
      <c r="M342" s="750">
        <f t="shared" si="7"/>
        <v>711186</v>
      </c>
    </row>
    <row r="343" spans="1:13" x14ac:dyDescent="0.25">
      <c r="A343" s="751" t="s">
        <v>1126</v>
      </c>
      <c r="B343" s="751"/>
      <c r="C343" s="745" t="s">
        <v>1127</v>
      </c>
      <c r="D343" s="914">
        <f t="shared" si="6"/>
        <v>977882</v>
      </c>
      <c r="E343" s="621">
        <v>471787</v>
      </c>
      <c r="F343" s="621">
        <v>239400</v>
      </c>
      <c r="G343" s="621">
        <v>176920</v>
      </c>
      <c r="H343" s="621">
        <v>89775</v>
      </c>
      <c r="I343" s="1247"/>
      <c r="J343" s="1248"/>
      <c r="K343" s="1248"/>
      <c r="L343" s="1249"/>
      <c r="M343" s="750">
        <f t="shared" si="7"/>
        <v>1955764</v>
      </c>
    </row>
    <row r="344" spans="1:13" x14ac:dyDescent="0.25">
      <c r="A344" s="751" t="s">
        <v>1128</v>
      </c>
      <c r="B344" s="751"/>
      <c r="C344" s="745" t="s">
        <v>1129</v>
      </c>
      <c r="D344" s="914">
        <f t="shared" si="6"/>
        <v>148163</v>
      </c>
      <c r="E344" s="621">
        <v>88460</v>
      </c>
      <c r="F344" s="621">
        <v>44887</v>
      </c>
      <c r="G344" s="621">
        <v>9829</v>
      </c>
      <c r="H344" s="621">
        <v>4987</v>
      </c>
      <c r="I344" s="1247"/>
      <c r="J344" s="1248"/>
      <c r="K344" s="1248"/>
      <c r="L344" s="1249"/>
      <c r="M344" s="750">
        <f t="shared" si="7"/>
        <v>296326</v>
      </c>
    </row>
    <row r="345" spans="1:13" x14ac:dyDescent="0.25">
      <c r="A345" s="751" t="s">
        <v>1130</v>
      </c>
      <c r="B345" s="751"/>
      <c r="C345" s="745" t="s">
        <v>1131</v>
      </c>
      <c r="D345" s="914">
        <f t="shared" si="6"/>
        <v>118531</v>
      </c>
      <c r="E345" s="621">
        <v>78631</v>
      </c>
      <c r="F345" s="621">
        <v>39900</v>
      </c>
      <c r="G345" s="621"/>
      <c r="H345" s="621"/>
      <c r="I345" s="1247"/>
      <c r="J345" s="1248"/>
      <c r="K345" s="1248"/>
      <c r="L345" s="1249"/>
      <c r="M345" s="750">
        <f t="shared" si="7"/>
        <v>237062</v>
      </c>
    </row>
    <row r="346" spans="1:13" x14ac:dyDescent="0.25">
      <c r="A346" s="751" t="s">
        <v>1132</v>
      </c>
      <c r="B346" s="751"/>
      <c r="C346" s="745" t="s">
        <v>1133</v>
      </c>
      <c r="D346" s="914">
        <f t="shared" si="6"/>
        <v>44449</v>
      </c>
      <c r="E346" s="621">
        <v>19658</v>
      </c>
      <c r="F346" s="621">
        <v>9975</v>
      </c>
      <c r="G346" s="621">
        <v>9829</v>
      </c>
      <c r="H346" s="621">
        <v>4987</v>
      </c>
      <c r="I346" s="1247"/>
      <c r="J346" s="1248"/>
      <c r="K346" s="1248"/>
      <c r="L346" s="1249"/>
      <c r="M346" s="750">
        <f t="shared" si="7"/>
        <v>88898</v>
      </c>
    </row>
    <row r="347" spans="1:13" x14ac:dyDescent="0.25">
      <c r="A347" s="751" t="s">
        <v>1134</v>
      </c>
      <c r="B347" s="751"/>
      <c r="C347" s="745" t="s">
        <v>1135</v>
      </c>
      <c r="D347" s="914">
        <f t="shared" si="6"/>
        <v>44449</v>
      </c>
      <c r="E347" s="621">
        <v>29487</v>
      </c>
      <c r="F347" s="621">
        <v>14962</v>
      </c>
      <c r="G347" s="621"/>
      <c r="H347" s="621"/>
      <c r="I347" s="1247"/>
      <c r="J347" s="1248"/>
      <c r="K347" s="1248"/>
      <c r="L347" s="1249"/>
      <c r="M347" s="750">
        <f t="shared" si="7"/>
        <v>88898</v>
      </c>
    </row>
    <row r="348" spans="1:13" x14ac:dyDescent="0.25">
      <c r="A348" s="751" t="s">
        <v>1136</v>
      </c>
      <c r="B348" s="751"/>
      <c r="C348" s="745" t="s">
        <v>1137</v>
      </c>
      <c r="D348" s="914">
        <f t="shared" si="6"/>
        <v>1452005</v>
      </c>
      <c r="E348" s="621">
        <v>599562</v>
      </c>
      <c r="F348" s="621">
        <v>304237</v>
      </c>
      <c r="G348" s="621">
        <v>363669</v>
      </c>
      <c r="H348" s="621">
        <v>184537</v>
      </c>
      <c r="I348" s="1247"/>
      <c r="J348" s="1248"/>
      <c r="K348" s="1248"/>
      <c r="L348" s="1249"/>
      <c r="M348" s="750">
        <f t="shared" si="7"/>
        <v>2904010</v>
      </c>
    </row>
    <row r="349" spans="1:13" x14ac:dyDescent="0.25">
      <c r="A349" s="751" t="s">
        <v>1138</v>
      </c>
      <c r="B349" s="751"/>
      <c r="C349" s="745" t="s">
        <v>1139</v>
      </c>
      <c r="D349" s="914">
        <f t="shared" si="6"/>
        <v>1066790</v>
      </c>
      <c r="E349" s="621">
        <v>442300</v>
      </c>
      <c r="F349" s="621">
        <v>224437</v>
      </c>
      <c r="G349" s="621">
        <v>265380</v>
      </c>
      <c r="H349" s="621">
        <v>134673</v>
      </c>
      <c r="I349" s="1247"/>
      <c r="J349" s="1248"/>
      <c r="K349" s="1248"/>
      <c r="L349" s="1249"/>
      <c r="M349" s="750">
        <f t="shared" si="7"/>
        <v>2133580</v>
      </c>
    </row>
    <row r="350" spans="1:13" ht="19.5" customHeight="1" x14ac:dyDescent="0.25">
      <c r="A350" s="751" t="s">
        <v>1140</v>
      </c>
      <c r="B350" s="751"/>
      <c r="C350" s="745" t="s">
        <v>1141</v>
      </c>
      <c r="D350" s="914">
        <f t="shared" si="6"/>
        <v>281510</v>
      </c>
      <c r="E350" s="621">
        <v>137604</v>
      </c>
      <c r="F350" s="621">
        <v>69825</v>
      </c>
      <c r="G350" s="621">
        <v>49144</v>
      </c>
      <c r="H350" s="621">
        <v>24937</v>
      </c>
      <c r="I350" s="1247"/>
      <c r="J350" s="1248"/>
      <c r="K350" s="1248"/>
      <c r="L350" s="1249"/>
      <c r="M350" s="750">
        <f t="shared" si="7"/>
        <v>563020</v>
      </c>
    </row>
    <row r="351" spans="1:13" x14ac:dyDescent="0.25">
      <c r="A351" s="751" t="s">
        <v>1142</v>
      </c>
      <c r="B351" s="751"/>
      <c r="C351" s="745" t="s">
        <v>1143</v>
      </c>
      <c r="D351" s="914">
        <f t="shared" si="6"/>
        <v>444491</v>
      </c>
      <c r="E351" s="621">
        <v>235893</v>
      </c>
      <c r="F351" s="621">
        <v>119700</v>
      </c>
      <c r="G351" s="621">
        <v>58973</v>
      </c>
      <c r="H351" s="621">
        <v>29925</v>
      </c>
      <c r="I351" s="1247"/>
      <c r="J351" s="1248"/>
      <c r="K351" s="1248"/>
      <c r="L351" s="1249"/>
      <c r="M351" s="750">
        <f t="shared" si="7"/>
        <v>888982</v>
      </c>
    </row>
    <row r="352" spans="1:13" x14ac:dyDescent="0.25">
      <c r="A352" s="751" t="s">
        <v>1144</v>
      </c>
      <c r="B352" s="751"/>
      <c r="C352" s="745" t="s">
        <v>1145</v>
      </c>
      <c r="D352" s="914">
        <f t="shared" si="6"/>
        <v>414857</v>
      </c>
      <c r="E352" s="621">
        <v>226064</v>
      </c>
      <c r="F352" s="621">
        <v>114712</v>
      </c>
      <c r="G352" s="621">
        <v>49144</v>
      </c>
      <c r="H352" s="621">
        <v>24937</v>
      </c>
      <c r="I352" s="1247"/>
      <c r="J352" s="1248"/>
      <c r="K352" s="1248"/>
      <c r="L352" s="1249"/>
      <c r="M352" s="750">
        <f t="shared" si="7"/>
        <v>829714</v>
      </c>
    </row>
    <row r="353" spans="1:15" x14ac:dyDescent="0.25">
      <c r="A353" s="751" t="s">
        <v>1146</v>
      </c>
      <c r="B353" s="751"/>
      <c r="C353" s="745" t="s">
        <v>1147</v>
      </c>
      <c r="D353" s="914">
        <f t="shared" si="6"/>
        <v>414859</v>
      </c>
      <c r="E353" s="621">
        <v>216236</v>
      </c>
      <c r="F353" s="621">
        <v>109725</v>
      </c>
      <c r="G353" s="621">
        <v>58973</v>
      </c>
      <c r="H353" s="621">
        <v>29925</v>
      </c>
      <c r="I353" s="1247"/>
      <c r="J353" s="1248"/>
      <c r="K353" s="1248"/>
      <c r="L353" s="1249"/>
      <c r="M353" s="750">
        <f t="shared" si="7"/>
        <v>829718</v>
      </c>
    </row>
    <row r="354" spans="1:15" x14ac:dyDescent="0.25">
      <c r="A354" s="751" t="s">
        <v>1148</v>
      </c>
      <c r="B354" s="751"/>
      <c r="C354" s="745" t="s">
        <v>1149</v>
      </c>
      <c r="D354" s="914">
        <f t="shared" si="6"/>
        <v>148164</v>
      </c>
      <c r="E354" s="621">
        <v>98289</v>
      </c>
      <c r="F354" s="621">
        <v>49875</v>
      </c>
      <c r="G354" s="621"/>
      <c r="H354" s="621"/>
      <c r="I354" s="1247"/>
      <c r="J354" s="1248"/>
      <c r="K354" s="1248"/>
      <c r="L354" s="1249"/>
      <c r="M354" s="750">
        <f t="shared" si="7"/>
        <v>296328</v>
      </c>
    </row>
    <row r="355" spans="1:15" hidden="1" x14ac:dyDescent="0.25">
      <c r="A355" s="751"/>
      <c r="B355" s="751"/>
      <c r="C355" s="745" t="s">
        <v>168</v>
      </c>
      <c r="D355" s="762"/>
      <c r="E355" s="762"/>
      <c r="F355" s="762"/>
      <c r="G355" s="873"/>
      <c r="H355" s="873"/>
      <c r="I355" s="1247"/>
      <c r="J355" s="1248"/>
      <c r="K355" s="1248"/>
      <c r="L355" s="1249"/>
      <c r="M355" s="750">
        <f t="shared" si="7"/>
        <v>0</v>
      </c>
    </row>
    <row r="356" spans="1:15" ht="67.150000000000006" customHeight="1" x14ac:dyDescent="0.25">
      <c r="A356" s="1823" t="s">
        <v>696</v>
      </c>
      <c r="B356" s="1825">
        <v>9350</v>
      </c>
      <c r="C356" s="1827" t="s">
        <v>700</v>
      </c>
      <c r="D356" s="1829"/>
      <c r="E356" s="1830" t="s">
        <v>1829</v>
      </c>
      <c r="F356" s="1831"/>
      <c r="G356" s="1832"/>
      <c r="H356" s="1832"/>
      <c r="I356" s="1832" t="s">
        <v>1830</v>
      </c>
      <c r="J356" s="1832" t="s">
        <v>1831</v>
      </c>
      <c r="K356" s="1832"/>
      <c r="L356" s="1832"/>
      <c r="M356" s="750">
        <v>1</v>
      </c>
      <c r="N356" s="857" t="b">
        <f>D359=дод3!E78</f>
        <v>1</v>
      </c>
      <c r="O356" s="857"/>
    </row>
    <row r="357" spans="1:15" x14ac:dyDescent="0.25">
      <c r="A357" s="1823"/>
      <c r="B357" s="1826"/>
      <c r="C357" s="1827"/>
      <c r="D357" s="1829"/>
      <c r="E357" s="1839" t="s">
        <v>744</v>
      </c>
      <c r="F357" s="1840" t="s">
        <v>1832</v>
      </c>
      <c r="G357" s="1840"/>
      <c r="H357" s="1840"/>
      <c r="I357" s="1832"/>
      <c r="J357" s="1841" t="s">
        <v>744</v>
      </c>
      <c r="K357" s="1841" t="s">
        <v>1832</v>
      </c>
      <c r="L357" s="1841"/>
      <c r="M357" s="750">
        <v>1</v>
      </c>
    </row>
    <row r="358" spans="1:15" ht="308.45" customHeight="1" x14ac:dyDescent="0.25">
      <c r="A358" s="1823"/>
      <c r="B358" s="1826"/>
      <c r="C358" s="1827"/>
      <c r="D358" s="1829"/>
      <c r="E358" s="1839"/>
      <c r="F358" s="1250" t="s">
        <v>1833</v>
      </c>
      <c r="G358" s="1250" t="s">
        <v>1834</v>
      </c>
      <c r="H358" s="1250" t="s">
        <v>1835</v>
      </c>
      <c r="I358" s="1838"/>
      <c r="J358" s="1842"/>
      <c r="K358" s="1251" t="s">
        <v>1836</v>
      </c>
      <c r="L358" s="1251" t="s">
        <v>1837</v>
      </c>
      <c r="M358" s="750">
        <v>1</v>
      </c>
    </row>
    <row r="359" spans="1:15" ht="28.9" customHeight="1" x14ac:dyDescent="0.25">
      <c r="A359" s="1824"/>
      <c r="B359" s="1826"/>
      <c r="C359" s="1828"/>
      <c r="D359" s="1252">
        <f t="shared" ref="D359:L359" si="8">D360+D361+D362+D363+D364+D365+D366+D367+D368+D369+D370+D371+D372+D373+D374+D375+D376+D377+D378+D379+D380+D381+D382+D383+D384+D385+D386+D387+D388+D389+D390+D391+D392+D393+D394+D395+D396+D397+D398+D399+D400+D401+D402+D403+D404+D405+D406+D407+D408+D409+D410+D411+D412+D413+D414+D415+D416+D417+D418+D419+D420+D421+D422+D423+D424+D425</f>
        <v>49400801</v>
      </c>
      <c r="E359" s="1253">
        <f t="shared" si="8"/>
        <v>36889359</v>
      </c>
      <c r="F359" s="1254">
        <f t="shared" si="8"/>
        <v>9207731</v>
      </c>
      <c r="G359" s="1254">
        <f t="shared" si="8"/>
        <v>13004350</v>
      </c>
      <c r="H359" s="1254">
        <f t="shared" si="8"/>
        <v>14677278</v>
      </c>
      <c r="I359" s="1254">
        <f t="shared" si="8"/>
        <v>1085300</v>
      </c>
      <c r="J359" s="1254">
        <f t="shared" si="8"/>
        <v>11426142</v>
      </c>
      <c r="K359" s="1254">
        <f t="shared" si="8"/>
        <v>1097344</v>
      </c>
      <c r="L359" s="1254">
        <f t="shared" si="8"/>
        <v>10328798</v>
      </c>
      <c r="M359" s="750">
        <f t="shared" si="7"/>
        <v>123179519</v>
      </c>
    </row>
    <row r="360" spans="1:15" x14ac:dyDescent="0.25">
      <c r="A360" s="1216" t="s">
        <v>526</v>
      </c>
      <c r="B360" s="1216"/>
      <c r="C360" s="821" t="s">
        <v>1060</v>
      </c>
      <c r="D360" s="1116">
        <f>E360+I360+J360</f>
        <v>134562</v>
      </c>
      <c r="E360" s="926">
        <f t="shared" ref="E360:E423" si="9">SUM(F360:H360)</f>
        <v>102099</v>
      </c>
      <c r="F360" s="311">
        <v>23392</v>
      </c>
      <c r="G360" s="311">
        <v>29205</v>
      </c>
      <c r="H360" s="311">
        <v>49502</v>
      </c>
      <c r="I360" s="1217"/>
      <c r="J360" s="311">
        <f t="shared" ref="J360:J423" si="10">SUM(K360:L360)</f>
        <v>32463</v>
      </c>
      <c r="K360" s="311">
        <v>3701</v>
      </c>
      <c r="L360" s="311">
        <v>28762</v>
      </c>
      <c r="M360" s="750">
        <f t="shared" si="7"/>
        <v>338760</v>
      </c>
    </row>
    <row r="361" spans="1:15" x14ac:dyDescent="0.25">
      <c r="A361" s="1216" t="s">
        <v>527</v>
      </c>
      <c r="B361" s="1216"/>
      <c r="C361" s="821" t="s">
        <v>1069</v>
      </c>
      <c r="D361" s="1116">
        <f t="shared" ref="D361:D424" si="11">E361+I361+J361</f>
        <v>151195</v>
      </c>
      <c r="E361" s="926">
        <f t="shared" si="9"/>
        <v>117704</v>
      </c>
      <c r="F361" s="311">
        <v>35088</v>
      </c>
      <c r="G361" s="311">
        <v>33114</v>
      </c>
      <c r="H361" s="311">
        <v>49502</v>
      </c>
      <c r="I361" s="1217"/>
      <c r="J361" s="311">
        <f t="shared" si="10"/>
        <v>33491</v>
      </c>
      <c r="K361" s="311">
        <v>3701</v>
      </c>
      <c r="L361" s="311">
        <v>29790</v>
      </c>
      <c r="M361" s="750">
        <f t="shared" si="7"/>
        <v>386603</v>
      </c>
    </row>
    <row r="362" spans="1:15" x14ac:dyDescent="0.25">
      <c r="A362" s="1216" t="s">
        <v>528</v>
      </c>
      <c r="B362" s="1216"/>
      <c r="C362" s="821" t="s">
        <v>1070</v>
      </c>
      <c r="D362" s="1116">
        <f t="shared" si="11"/>
        <v>202998</v>
      </c>
      <c r="E362" s="926">
        <f t="shared" si="9"/>
        <v>148139</v>
      </c>
      <c r="F362" s="311">
        <v>38012</v>
      </c>
      <c r="G362" s="311">
        <v>35874</v>
      </c>
      <c r="H362" s="311">
        <v>74253</v>
      </c>
      <c r="I362" s="1217"/>
      <c r="J362" s="311">
        <f t="shared" si="10"/>
        <v>54859</v>
      </c>
      <c r="K362" s="311">
        <v>5552</v>
      </c>
      <c r="L362" s="311">
        <v>49307</v>
      </c>
      <c r="M362" s="750">
        <f t="shared" si="7"/>
        <v>499276</v>
      </c>
    </row>
    <row r="363" spans="1:15" x14ac:dyDescent="0.25">
      <c r="A363" s="1216" t="s">
        <v>529</v>
      </c>
      <c r="B363" s="1216"/>
      <c r="C363" s="821" t="s">
        <v>1071</v>
      </c>
      <c r="D363" s="1116">
        <f t="shared" si="11"/>
        <v>350230</v>
      </c>
      <c r="E363" s="926">
        <f t="shared" si="9"/>
        <v>263936</v>
      </c>
      <c r="F363" s="311">
        <v>55556</v>
      </c>
      <c r="G363" s="311">
        <v>84626</v>
      </c>
      <c r="H363" s="311">
        <v>123754</v>
      </c>
      <c r="I363" s="1217"/>
      <c r="J363" s="311">
        <f t="shared" si="10"/>
        <v>86294</v>
      </c>
      <c r="K363" s="311">
        <v>9252</v>
      </c>
      <c r="L363" s="311">
        <v>77042</v>
      </c>
      <c r="M363" s="750">
        <f t="shared" si="7"/>
        <v>878102</v>
      </c>
    </row>
    <row r="364" spans="1:15" x14ac:dyDescent="0.25">
      <c r="A364" s="1216" t="s">
        <v>530</v>
      </c>
      <c r="B364" s="1216"/>
      <c r="C364" s="821" t="s">
        <v>1072</v>
      </c>
      <c r="D364" s="1116">
        <f t="shared" si="11"/>
        <v>504019</v>
      </c>
      <c r="E364" s="926">
        <f t="shared" si="9"/>
        <v>382588</v>
      </c>
      <c r="F364" s="311">
        <v>81873</v>
      </c>
      <c r="G364" s="311">
        <v>77957</v>
      </c>
      <c r="H364" s="311">
        <v>222758</v>
      </c>
      <c r="I364" s="1217"/>
      <c r="J364" s="311">
        <f t="shared" si="10"/>
        <v>121431</v>
      </c>
      <c r="K364" s="311">
        <v>16654</v>
      </c>
      <c r="L364" s="311">
        <v>104777</v>
      </c>
      <c r="M364" s="750">
        <f t="shared" si="7"/>
        <v>1269195</v>
      </c>
    </row>
    <row r="365" spans="1:15" x14ac:dyDescent="0.25">
      <c r="A365" s="1216" t="s">
        <v>531</v>
      </c>
      <c r="B365" s="1216"/>
      <c r="C365" s="821" t="s">
        <v>1073</v>
      </c>
      <c r="D365" s="1116">
        <f t="shared" si="11"/>
        <v>305601</v>
      </c>
      <c r="E365" s="926">
        <f t="shared" si="9"/>
        <v>227116</v>
      </c>
      <c r="F365" s="311">
        <v>64328</v>
      </c>
      <c r="G365" s="311">
        <v>88535</v>
      </c>
      <c r="H365" s="311">
        <v>74253</v>
      </c>
      <c r="I365" s="1217"/>
      <c r="J365" s="311">
        <f t="shared" si="10"/>
        <v>78485</v>
      </c>
      <c r="K365" s="311">
        <v>5552</v>
      </c>
      <c r="L365" s="311">
        <v>72933</v>
      </c>
      <c r="M365" s="750">
        <f t="shared" si="7"/>
        <v>759833</v>
      </c>
    </row>
    <row r="366" spans="1:15" x14ac:dyDescent="0.25">
      <c r="A366" s="1216" t="s">
        <v>532</v>
      </c>
      <c r="B366" s="1216"/>
      <c r="C366" s="821" t="s">
        <v>1074</v>
      </c>
      <c r="D366" s="1116">
        <f t="shared" si="11"/>
        <v>138570</v>
      </c>
      <c r="E366" s="926">
        <f t="shared" si="9"/>
        <v>106107</v>
      </c>
      <c r="F366" s="311">
        <v>29240</v>
      </c>
      <c r="G366" s="311">
        <v>27365</v>
      </c>
      <c r="H366" s="311">
        <v>49502</v>
      </c>
      <c r="I366" s="1217"/>
      <c r="J366" s="311">
        <f t="shared" si="10"/>
        <v>32463</v>
      </c>
      <c r="K366" s="311">
        <v>3701</v>
      </c>
      <c r="L366" s="311">
        <v>28762</v>
      </c>
      <c r="M366" s="750">
        <f t="shared" si="7"/>
        <v>350784</v>
      </c>
    </row>
    <row r="367" spans="1:15" x14ac:dyDescent="0.25">
      <c r="A367" s="1216" t="s">
        <v>533</v>
      </c>
      <c r="B367" s="1216"/>
      <c r="C367" s="821" t="s">
        <v>1075</v>
      </c>
      <c r="D367" s="1116">
        <f t="shared" si="11"/>
        <v>348234</v>
      </c>
      <c r="E367" s="926">
        <f t="shared" si="9"/>
        <v>267899</v>
      </c>
      <c r="F367" s="311">
        <v>67252</v>
      </c>
      <c r="G367" s="311">
        <v>101643</v>
      </c>
      <c r="H367" s="311">
        <v>99004</v>
      </c>
      <c r="I367" s="1217"/>
      <c r="J367" s="311">
        <f t="shared" si="10"/>
        <v>80335</v>
      </c>
      <c r="K367" s="311">
        <v>7402</v>
      </c>
      <c r="L367" s="311">
        <v>72933</v>
      </c>
      <c r="M367" s="750">
        <f t="shared" si="7"/>
        <v>884032</v>
      </c>
    </row>
    <row r="368" spans="1:15" x14ac:dyDescent="0.25">
      <c r="A368" s="1216" t="s">
        <v>534</v>
      </c>
      <c r="B368" s="1216"/>
      <c r="C368" s="821" t="s">
        <v>1076</v>
      </c>
      <c r="D368" s="1116">
        <f t="shared" si="11"/>
        <v>233141</v>
      </c>
      <c r="E368" s="926">
        <f t="shared" si="9"/>
        <v>176228</v>
      </c>
      <c r="F368" s="311">
        <v>46784</v>
      </c>
      <c r="G368" s="311">
        <v>55191</v>
      </c>
      <c r="H368" s="311">
        <v>74253</v>
      </c>
      <c r="I368" s="1217"/>
      <c r="J368" s="311">
        <f t="shared" si="10"/>
        <v>56913</v>
      </c>
      <c r="K368" s="311">
        <v>5552</v>
      </c>
      <c r="L368" s="311">
        <v>51361</v>
      </c>
      <c r="M368" s="750">
        <f t="shared" si="7"/>
        <v>585597</v>
      </c>
    </row>
    <row r="369" spans="1:13" x14ac:dyDescent="0.25">
      <c r="A369" s="1216" t="s">
        <v>535</v>
      </c>
      <c r="B369" s="1216"/>
      <c r="C369" s="821" t="s">
        <v>1077</v>
      </c>
      <c r="D369" s="1116">
        <f t="shared" si="11"/>
        <v>198380</v>
      </c>
      <c r="E369" s="926">
        <f t="shared" si="9"/>
        <v>140032</v>
      </c>
      <c r="F369" s="311">
        <v>58480</v>
      </c>
      <c r="G369" s="311">
        <v>56801</v>
      </c>
      <c r="H369" s="311">
        <v>24751</v>
      </c>
      <c r="I369" s="1217"/>
      <c r="J369" s="311">
        <f t="shared" si="10"/>
        <v>58348</v>
      </c>
      <c r="K369" s="311">
        <v>1850</v>
      </c>
      <c r="L369" s="311">
        <v>56498</v>
      </c>
      <c r="M369" s="750">
        <f t="shared" si="7"/>
        <v>478444</v>
      </c>
    </row>
    <row r="370" spans="1:13" x14ac:dyDescent="0.25">
      <c r="A370" s="1216" t="s">
        <v>536</v>
      </c>
      <c r="B370" s="1216"/>
      <c r="C370" s="821" t="s">
        <v>1078</v>
      </c>
      <c r="D370" s="1116">
        <f t="shared" si="11"/>
        <v>1102436</v>
      </c>
      <c r="E370" s="926">
        <f t="shared" si="9"/>
        <v>802878</v>
      </c>
      <c r="F370" s="311">
        <v>228073</v>
      </c>
      <c r="G370" s="311">
        <v>277794</v>
      </c>
      <c r="H370" s="311">
        <v>297011</v>
      </c>
      <c r="I370" s="1217"/>
      <c r="J370" s="311">
        <f t="shared" si="10"/>
        <v>299558</v>
      </c>
      <c r="K370" s="311">
        <v>22206</v>
      </c>
      <c r="L370" s="311">
        <v>277352</v>
      </c>
      <c r="M370" s="750">
        <f t="shared" si="7"/>
        <v>2708192</v>
      </c>
    </row>
    <row r="371" spans="1:13" x14ac:dyDescent="0.25">
      <c r="A371" s="1216" t="s">
        <v>537</v>
      </c>
      <c r="B371" s="1216"/>
      <c r="C371" s="821" t="s">
        <v>1079</v>
      </c>
      <c r="D371" s="1116">
        <f t="shared" si="11"/>
        <v>1099547</v>
      </c>
      <c r="E371" s="926">
        <f t="shared" si="9"/>
        <v>855051</v>
      </c>
      <c r="F371" s="311">
        <v>216377</v>
      </c>
      <c r="G371" s="311">
        <v>391165</v>
      </c>
      <c r="H371" s="311">
        <v>247509</v>
      </c>
      <c r="I371" s="1217"/>
      <c r="J371" s="311">
        <f t="shared" si="10"/>
        <v>244496</v>
      </c>
      <c r="K371" s="311">
        <v>18505</v>
      </c>
      <c r="L371" s="311">
        <v>225991</v>
      </c>
      <c r="M371" s="750">
        <f t="shared" si="7"/>
        <v>2809649</v>
      </c>
    </row>
    <row r="372" spans="1:13" x14ac:dyDescent="0.25">
      <c r="A372" s="1216" t="s">
        <v>538</v>
      </c>
      <c r="B372" s="1216"/>
      <c r="C372" s="821" t="s">
        <v>1080</v>
      </c>
      <c r="D372" s="1116">
        <f t="shared" si="11"/>
        <v>2125012</v>
      </c>
      <c r="E372" s="926">
        <f t="shared" si="9"/>
        <v>1611352</v>
      </c>
      <c r="F372" s="311">
        <v>388894</v>
      </c>
      <c r="G372" s="311">
        <v>479931</v>
      </c>
      <c r="H372" s="311">
        <v>742527</v>
      </c>
      <c r="I372" s="1217"/>
      <c r="J372" s="311">
        <f t="shared" si="10"/>
        <v>513660</v>
      </c>
      <c r="K372" s="311">
        <v>55515</v>
      </c>
      <c r="L372" s="311">
        <v>458145</v>
      </c>
      <c r="M372" s="750">
        <f t="shared" si="7"/>
        <v>5347716</v>
      </c>
    </row>
    <row r="373" spans="1:13" x14ac:dyDescent="0.25">
      <c r="A373" s="1216" t="s">
        <v>539</v>
      </c>
      <c r="B373" s="1216"/>
      <c r="C373" s="821" t="s">
        <v>1081</v>
      </c>
      <c r="D373" s="1116">
        <f t="shared" si="11"/>
        <v>803606</v>
      </c>
      <c r="E373" s="926">
        <f t="shared" si="9"/>
        <v>611907</v>
      </c>
      <c r="F373" s="311">
        <v>160821</v>
      </c>
      <c r="G373" s="311">
        <v>154075</v>
      </c>
      <c r="H373" s="311">
        <v>297011</v>
      </c>
      <c r="I373" s="1217"/>
      <c r="J373" s="311">
        <f t="shared" si="10"/>
        <v>191699</v>
      </c>
      <c r="K373" s="311">
        <v>22206</v>
      </c>
      <c r="L373" s="311">
        <v>169493</v>
      </c>
      <c r="M373" s="750">
        <f t="shared" si="7"/>
        <v>2027420</v>
      </c>
    </row>
    <row r="374" spans="1:13" x14ac:dyDescent="0.25">
      <c r="A374" s="1216" t="s">
        <v>540</v>
      </c>
      <c r="B374" s="1216"/>
      <c r="C374" s="821" t="s">
        <v>1082</v>
      </c>
      <c r="D374" s="1116">
        <f t="shared" si="11"/>
        <v>287621</v>
      </c>
      <c r="E374" s="926">
        <f t="shared" si="9"/>
        <v>198863</v>
      </c>
      <c r="F374" s="311">
        <v>52632</v>
      </c>
      <c r="G374" s="311">
        <v>71978</v>
      </c>
      <c r="H374" s="311">
        <v>74253</v>
      </c>
      <c r="I374" s="1217"/>
      <c r="J374" s="311">
        <f t="shared" si="10"/>
        <v>88758</v>
      </c>
      <c r="K374" s="311">
        <v>5552</v>
      </c>
      <c r="L374" s="311">
        <v>83206</v>
      </c>
      <c r="M374" s="750">
        <f t="shared" si="7"/>
        <v>685347</v>
      </c>
    </row>
    <row r="375" spans="1:13" x14ac:dyDescent="0.25">
      <c r="A375" s="1216" t="s">
        <v>541</v>
      </c>
      <c r="B375" s="1216"/>
      <c r="C375" s="821" t="s">
        <v>1083</v>
      </c>
      <c r="D375" s="1116">
        <f t="shared" si="11"/>
        <v>282637</v>
      </c>
      <c r="E375" s="926">
        <f t="shared" si="9"/>
        <v>219560</v>
      </c>
      <c r="F375" s="311">
        <v>52632</v>
      </c>
      <c r="G375" s="311">
        <v>92675</v>
      </c>
      <c r="H375" s="311">
        <v>74253</v>
      </c>
      <c r="I375" s="1217"/>
      <c r="J375" s="311">
        <f t="shared" si="10"/>
        <v>63077</v>
      </c>
      <c r="K375" s="311">
        <v>5552</v>
      </c>
      <c r="L375" s="311">
        <v>57525</v>
      </c>
      <c r="M375" s="750">
        <f t="shared" si="7"/>
        <v>721757</v>
      </c>
    </row>
    <row r="376" spans="1:13" x14ac:dyDescent="0.25">
      <c r="A376" s="1216" t="s">
        <v>542</v>
      </c>
      <c r="B376" s="1216"/>
      <c r="C376" s="821" t="s">
        <v>1084</v>
      </c>
      <c r="D376" s="1116">
        <f t="shared" si="11"/>
        <v>960217</v>
      </c>
      <c r="E376" s="926">
        <f t="shared" si="9"/>
        <v>727625</v>
      </c>
      <c r="F376" s="311">
        <v>146201</v>
      </c>
      <c r="G376" s="311">
        <v>135908</v>
      </c>
      <c r="H376" s="311">
        <v>445516</v>
      </c>
      <c r="I376" s="1217"/>
      <c r="J376" s="311">
        <f t="shared" si="10"/>
        <v>232592</v>
      </c>
      <c r="K376" s="311">
        <v>33309</v>
      </c>
      <c r="L376" s="311">
        <v>199283</v>
      </c>
      <c r="M376" s="750">
        <f t="shared" si="7"/>
        <v>2415467</v>
      </c>
    </row>
    <row r="377" spans="1:13" x14ac:dyDescent="0.25">
      <c r="A377" s="1216" t="s">
        <v>543</v>
      </c>
      <c r="B377" s="1216"/>
      <c r="C377" s="821" t="s">
        <v>1085</v>
      </c>
      <c r="D377" s="1116">
        <f t="shared" si="11"/>
        <v>283284</v>
      </c>
      <c r="E377" s="926">
        <f t="shared" si="9"/>
        <v>233766</v>
      </c>
      <c r="F377" s="311">
        <v>61404</v>
      </c>
      <c r="G377" s="311">
        <v>73358</v>
      </c>
      <c r="H377" s="311">
        <v>99004</v>
      </c>
      <c r="I377" s="1217"/>
      <c r="J377" s="311">
        <f t="shared" si="10"/>
        <v>49518</v>
      </c>
      <c r="K377" s="311">
        <v>7402</v>
      </c>
      <c r="L377" s="311">
        <v>42116</v>
      </c>
      <c r="M377" s="750">
        <f t="shared" si="7"/>
        <v>750816</v>
      </c>
    </row>
    <row r="378" spans="1:13" x14ac:dyDescent="0.25">
      <c r="A378" s="1216" t="s">
        <v>544</v>
      </c>
      <c r="B378" s="1216"/>
      <c r="C378" s="821" t="s">
        <v>1086</v>
      </c>
      <c r="D378" s="1116">
        <f t="shared" si="11"/>
        <v>801304</v>
      </c>
      <c r="E378" s="926">
        <f t="shared" si="9"/>
        <v>627892</v>
      </c>
      <c r="F378" s="311">
        <v>169593</v>
      </c>
      <c r="G378" s="311">
        <v>186039</v>
      </c>
      <c r="H378" s="311">
        <v>272260</v>
      </c>
      <c r="I378" s="1217"/>
      <c r="J378" s="311">
        <f t="shared" si="10"/>
        <v>173412</v>
      </c>
      <c r="K378" s="311">
        <v>20355</v>
      </c>
      <c r="L378" s="311">
        <v>153057</v>
      </c>
      <c r="M378" s="750">
        <f t="shared" si="7"/>
        <v>2057088</v>
      </c>
    </row>
    <row r="379" spans="1:13" x14ac:dyDescent="0.25">
      <c r="A379" s="1216" t="s">
        <v>545</v>
      </c>
      <c r="B379" s="1216"/>
      <c r="C379" s="821" t="s">
        <v>1087</v>
      </c>
      <c r="D379" s="1116">
        <f t="shared" si="11"/>
        <v>857626</v>
      </c>
      <c r="E379" s="926">
        <f t="shared" si="9"/>
        <v>660791</v>
      </c>
      <c r="F379" s="311">
        <v>175441</v>
      </c>
      <c r="G379" s="311">
        <v>188339</v>
      </c>
      <c r="H379" s="311">
        <v>297011</v>
      </c>
      <c r="I379" s="1217"/>
      <c r="J379" s="311">
        <f t="shared" si="10"/>
        <v>196835</v>
      </c>
      <c r="K379" s="311">
        <v>22206</v>
      </c>
      <c r="L379" s="311">
        <v>174629</v>
      </c>
      <c r="M379" s="750">
        <f t="shared" si="7"/>
        <v>2179208</v>
      </c>
    </row>
    <row r="380" spans="1:13" x14ac:dyDescent="0.25">
      <c r="A380" s="1216" t="s">
        <v>546</v>
      </c>
      <c r="B380" s="1216"/>
      <c r="C380" s="821" t="s">
        <v>1088</v>
      </c>
      <c r="D380" s="1116">
        <f t="shared" si="11"/>
        <v>312380</v>
      </c>
      <c r="E380" s="926">
        <f t="shared" si="9"/>
        <v>249712</v>
      </c>
      <c r="F380" s="311">
        <v>64328</v>
      </c>
      <c r="G380" s="311">
        <v>61630</v>
      </c>
      <c r="H380" s="311">
        <v>123754</v>
      </c>
      <c r="I380" s="1217"/>
      <c r="J380" s="311">
        <f t="shared" si="10"/>
        <v>62668</v>
      </c>
      <c r="K380" s="311">
        <v>9252</v>
      </c>
      <c r="L380" s="311">
        <v>53416</v>
      </c>
      <c r="M380" s="750">
        <f t="shared" si="7"/>
        <v>811804</v>
      </c>
    </row>
    <row r="381" spans="1:13" x14ac:dyDescent="0.25">
      <c r="A381" s="1216" t="s">
        <v>547</v>
      </c>
      <c r="B381" s="1216"/>
      <c r="C381" s="821" t="s">
        <v>1089</v>
      </c>
      <c r="D381" s="1116">
        <f t="shared" si="11"/>
        <v>139587</v>
      </c>
      <c r="E381" s="926">
        <f t="shared" si="9"/>
        <v>98702</v>
      </c>
      <c r="F381" s="311">
        <v>35088</v>
      </c>
      <c r="G381" s="311">
        <v>38863</v>
      </c>
      <c r="H381" s="311">
        <v>24751</v>
      </c>
      <c r="I381" s="1217"/>
      <c r="J381" s="311">
        <f t="shared" si="10"/>
        <v>40885</v>
      </c>
      <c r="K381" s="311">
        <v>1850</v>
      </c>
      <c r="L381" s="311">
        <v>39035</v>
      </c>
      <c r="M381" s="750">
        <f t="shared" si="7"/>
        <v>336991</v>
      </c>
    </row>
    <row r="382" spans="1:13" x14ac:dyDescent="0.25">
      <c r="A382" s="1216" t="s">
        <v>548</v>
      </c>
      <c r="B382" s="1216"/>
      <c r="C382" s="821" t="s">
        <v>1090</v>
      </c>
      <c r="D382" s="1116">
        <f t="shared" si="11"/>
        <v>372611</v>
      </c>
      <c r="E382" s="926">
        <f t="shared" si="9"/>
        <v>286520</v>
      </c>
      <c r="F382" s="311">
        <v>70176</v>
      </c>
      <c r="G382" s="311">
        <v>67839</v>
      </c>
      <c r="H382" s="311">
        <v>148505</v>
      </c>
      <c r="I382" s="1217"/>
      <c r="J382" s="311">
        <f t="shared" si="10"/>
        <v>86091</v>
      </c>
      <c r="K382" s="311">
        <v>11103</v>
      </c>
      <c r="L382" s="311">
        <v>74988</v>
      </c>
      <c r="M382" s="750">
        <f t="shared" si="7"/>
        <v>945651</v>
      </c>
    </row>
    <row r="383" spans="1:13" x14ac:dyDescent="0.25">
      <c r="A383" s="1216" t="s">
        <v>549</v>
      </c>
      <c r="B383" s="1216"/>
      <c r="C383" s="821" t="s">
        <v>1091</v>
      </c>
      <c r="D383" s="1116">
        <f t="shared" si="11"/>
        <v>290079</v>
      </c>
      <c r="E383" s="926">
        <f t="shared" si="9"/>
        <v>206662</v>
      </c>
      <c r="F383" s="311">
        <v>49708</v>
      </c>
      <c r="G383" s="311">
        <v>57950</v>
      </c>
      <c r="H383" s="311">
        <v>99004</v>
      </c>
      <c r="I383" s="1217"/>
      <c r="J383" s="311">
        <f t="shared" si="10"/>
        <v>83417</v>
      </c>
      <c r="K383" s="311">
        <v>7402</v>
      </c>
      <c r="L383" s="311">
        <v>76015</v>
      </c>
      <c r="M383" s="750">
        <f t="shared" si="7"/>
        <v>703403</v>
      </c>
    </row>
    <row r="384" spans="1:13" x14ac:dyDescent="0.25">
      <c r="A384" s="1216" t="s">
        <v>550</v>
      </c>
      <c r="B384" s="1216"/>
      <c r="C384" s="821" t="s">
        <v>1092</v>
      </c>
      <c r="D384" s="1116">
        <f t="shared" si="11"/>
        <v>105884</v>
      </c>
      <c r="E384" s="926">
        <f t="shared" si="9"/>
        <v>72190</v>
      </c>
      <c r="F384" s="311">
        <v>17544</v>
      </c>
      <c r="G384" s="311">
        <v>29895</v>
      </c>
      <c r="H384" s="311">
        <v>24751</v>
      </c>
      <c r="I384" s="1217"/>
      <c r="J384" s="311">
        <f t="shared" si="10"/>
        <v>33694</v>
      </c>
      <c r="K384" s="311">
        <v>1850</v>
      </c>
      <c r="L384" s="311">
        <v>31844</v>
      </c>
      <c r="M384" s="750">
        <f t="shared" si="7"/>
        <v>250264</v>
      </c>
    </row>
    <row r="385" spans="1:13" x14ac:dyDescent="0.25">
      <c r="A385" s="1216" t="s">
        <v>551</v>
      </c>
      <c r="B385" s="1216"/>
      <c r="C385" s="821" t="s">
        <v>1093</v>
      </c>
      <c r="D385" s="311">
        <f t="shared" si="11"/>
        <v>188656</v>
      </c>
      <c r="E385" s="926">
        <f t="shared" si="9"/>
        <v>138730</v>
      </c>
      <c r="F385" s="311">
        <v>40936</v>
      </c>
      <c r="G385" s="311">
        <v>48292</v>
      </c>
      <c r="H385" s="311">
        <v>49502</v>
      </c>
      <c r="I385" s="1217"/>
      <c r="J385" s="311">
        <f t="shared" si="10"/>
        <v>49926</v>
      </c>
      <c r="K385" s="311">
        <v>3701</v>
      </c>
      <c r="L385" s="311">
        <v>46225</v>
      </c>
      <c r="M385" s="750">
        <f t="shared" si="7"/>
        <v>466116</v>
      </c>
    </row>
    <row r="386" spans="1:13" x14ac:dyDescent="0.25">
      <c r="A386" s="1216" t="s">
        <v>552</v>
      </c>
      <c r="B386" s="1216"/>
      <c r="C386" s="821" t="s">
        <v>1094</v>
      </c>
      <c r="D386" s="311">
        <f t="shared" si="11"/>
        <v>332593</v>
      </c>
      <c r="E386" s="926">
        <f t="shared" si="9"/>
        <v>242190</v>
      </c>
      <c r="F386" s="311">
        <v>61405</v>
      </c>
      <c r="G386" s="311">
        <v>57031</v>
      </c>
      <c r="H386" s="311">
        <v>123754</v>
      </c>
      <c r="I386" s="1217"/>
      <c r="J386" s="311">
        <f t="shared" si="10"/>
        <v>90403</v>
      </c>
      <c r="K386" s="311">
        <v>9252</v>
      </c>
      <c r="L386" s="311">
        <v>81151</v>
      </c>
      <c r="M386" s="750">
        <f t="shared" si="7"/>
        <v>816973</v>
      </c>
    </row>
    <row r="387" spans="1:13" x14ac:dyDescent="0.25">
      <c r="A387" s="1216" t="s">
        <v>553</v>
      </c>
      <c r="B387" s="1216"/>
      <c r="C387" s="821" t="s">
        <v>1095</v>
      </c>
      <c r="D387" s="311">
        <f t="shared" si="11"/>
        <v>390628</v>
      </c>
      <c r="E387" s="926">
        <f t="shared" si="9"/>
        <v>292414</v>
      </c>
      <c r="F387" s="311">
        <v>70176</v>
      </c>
      <c r="G387" s="311">
        <v>48982</v>
      </c>
      <c r="H387" s="311">
        <v>173256</v>
      </c>
      <c r="I387" s="1217"/>
      <c r="J387" s="311">
        <f t="shared" si="10"/>
        <v>98214</v>
      </c>
      <c r="K387" s="311">
        <v>12954</v>
      </c>
      <c r="L387" s="311">
        <v>85260</v>
      </c>
      <c r="M387" s="750">
        <f t="shared" si="7"/>
        <v>975456</v>
      </c>
    </row>
    <row r="388" spans="1:13" x14ac:dyDescent="0.25">
      <c r="A388" s="1216" t="s">
        <v>554</v>
      </c>
      <c r="B388" s="1216"/>
      <c r="C388" s="821" t="s">
        <v>1096</v>
      </c>
      <c r="D388" s="1116">
        <f t="shared" si="11"/>
        <v>517201</v>
      </c>
      <c r="E388" s="926">
        <f t="shared" si="9"/>
        <v>373789</v>
      </c>
      <c r="F388" s="311">
        <v>81873</v>
      </c>
      <c r="G388" s="311">
        <v>118660</v>
      </c>
      <c r="H388" s="311">
        <v>173256</v>
      </c>
      <c r="I388" s="1217"/>
      <c r="J388" s="311">
        <f t="shared" si="10"/>
        <v>143412</v>
      </c>
      <c r="K388" s="311">
        <v>12954</v>
      </c>
      <c r="L388" s="311">
        <v>130458</v>
      </c>
      <c r="M388" s="750">
        <f t="shared" si="7"/>
        <v>1264779</v>
      </c>
    </row>
    <row r="389" spans="1:13" x14ac:dyDescent="0.25">
      <c r="A389" s="1216" t="s">
        <v>555</v>
      </c>
      <c r="B389" s="1216"/>
      <c r="C389" s="821" t="s">
        <v>1097</v>
      </c>
      <c r="D389" s="1116">
        <f t="shared" si="11"/>
        <v>628561</v>
      </c>
      <c r="E389" s="926">
        <f t="shared" si="9"/>
        <v>502605</v>
      </c>
      <c r="F389" s="311">
        <v>102341</v>
      </c>
      <c r="G389" s="311">
        <v>103253</v>
      </c>
      <c r="H389" s="311">
        <v>297011</v>
      </c>
      <c r="I389" s="1217"/>
      <c r="J389" s="311">
        <f t="shared" si="10"/>
        <v>125956</v>
      </c>
      <c r="K389" s="311">
        <v>22206</v>
      </c>
      <c r="L389" s="311">
        <v>103750</v>
      </c>
      <c r="M389" s="750">
        <f t="shared" si="7"/>
        <v>1633771</v>
      </c>
    </row>
    <row r="390" spans="1:13" x14ac:dyDescent="0.25">
      <c r="A390" s="1216" t="s">
        <v>556</v>
      </c>
      <c r="B390" s="1216"/>
      <c r="C390" s="821" t="s">
        <v>1098</v>
      </c>
      <c r="D390" s="1116">
        <f t="shared" si="11"/>
        <v>497118</v>
      </c>
      <c r="E390" s="926">
        <f t="shared" si="9"/>
        <v>364387</v>
      </c>
      <c r="F390" s="311">
        <v>73100</v>
      </c>
      <c r="G390" s="311">
        <v>68529</v>
      </c>
      <c r="H390" s="311">
        <v>222758</v>
      </c>
      <c r="I390" s="1217"/>
      <c r="J390" s="311">
        <f t="shared" si="10"/>
        <v>132731</v>
      </c>
      <c r="K390" s="311">
        <v>16654</v>
      </c>
      <c r="L390" s="311">
        <v>116077</v>
      </c>
      <c r="M390" s="750">
        <f t="shared" si="7"/>
        <v>1225892</v>
      </c>
    </row>
    <row r="391" spans="1:13" x14ac:dyDescent="0.25">
      <c r="A391" s="1216" t="s">
        <v>557</v>
      </c>
      <c r="B391" s="1216"/>
      <c r="C391" s="821" t="s">
        <v>1099</v>
      </c>
      <c r="D391" s="1116">
        <f t="shared" si="11"/>
        <v>1212207</v>
      </c>
      <c r="E391" s="926">
        <f t="shared" si="9"/>
        <v>862308</v>
      </c>
      <c r="F391" s="311">
        <v>225149</v>
      </c>
      <c r="G391" s="311">
        <v>216394</v>
      </c>
      <c r="H391" s="311">
        <v>420765</v>
      </c>
      <c r="I391" s="1217"/>
      <c r="J391" s="311">
        <f t="shared" si="10"/>
        <v>349899</v>
      </c>
      <c r="K391" s="311">
        <v>31458</v>
      </c>
      <c r="L391" s="311">
        <v>318441</v>
      </c>
      <c r="M391" s="750">
        <f t="shared" ref="M391:M454" si="12">SUM(D391:H391)</f>
        <v>2936823</v>
      </c>
    </row>
    <row r="392" spans="1:13" x14ac:dyDescent="0.25">
      <c r="A392" s="1216" t="s">
        <v>558</v>
      </c>
      <c r="B392" s="1216"/>
      <c r="C392" s="821" t="s">
        <v>1100</v>
      </c>
      <c r="D392" s="1116">
        <f t="shared" si="11"/>
        <v>1428933</v>
      </c>
      <c r="E392" s="926">
        <f t="shared" si="9"/>
        <v>1120523</v>
      </c>
      <c r="F392" s="311">
        <v>271934</v>
      </c>
      <c r="G392" s="311">
        <v>254568</v>
      </c>
      <c r="H392" s="311">
        <v>594021</v>
      </c>
      <c r="I392" s="1217"/>
      <c r="J392" s="311">
        <f t="shared" si="10"/>
        <v>308410</v>
      </c>
      <c r="K392" s="311">
        <v>44412</v>
      </c>
      <c r="L392" s="311">
        <v>263998</v>
      </c>
      <c r="M392" s="750">
        <f t="shared" si="12"/>
        <v>3669979</v>
      </c>
    </row>
    <row r="393" spans="1:13" x14ac:dyDescent="0.25">
      <c r="A393" s="1216" t="s">
        <v>559</v>
      </c>
      <c r="B393" s="1216"/>
      <c r="C393" s="821" t="s">
        <v>1101</v>
      </c>
      <c r="D393" s="1116">
        <f t="shared" si="11"/>
        <v>498619</v>
      </c>
      <c r="E393" s="926">
        <f t="shared" si="9"/>
        <v>386432</v>
      </c>
      <c r="F393" s="311">
        <v>84797</v>
      </c>
      <c r="G393" s="311">
        <v>78877</v>
      </c>
      <c r="H393" s="311">
        <v>222758</v>
      </c>
      <c r="I393" s="1217"/>
      <c r="J393" s="311">
        <f t="shared" si="10"/>
        <v>112187</v>
      </c>
      <c r="K393" s="311">
        <v>16655</v>
      </c>
      <c r="L393" s="311">
        <v>95532</v>
      </c>
      <c r="M393" s="750">
        <f t="shared" si="12"/>
        <v>1271483</v>
      </c>
    </row>
    <row r="394" spans="1:13" x14ac:dyDescent="0.25">
      <c r="A394" s="1216" t="s">
        <v>560</v>
      </c>
      <c r="B394" s="1216"/>
      <c r="C394" s="821" t="s">
        <v>1102</v>
      </c>
      <c r="D394" s="1116">
        <f t="shared" si="11"/>
        <v>277534</v>
      </c>
      <c r="E394" s="926">
        <f t="shared" si="9"/>
        <v>209730</v>
      </c>
      <c r="F394" s="311">
        <v>52632</v>
      </c>
      <c r="G394" s="311">
        <v>33344</v>
      </c>
      <c r="H394" s="311">
        <v>123754</v>
      </c>
      <c r="I394" s="1217"/>
      <c r="J394" s="311">
        <f t="shared" si="10"/>
        <v>67804</v>
      </c>
      <c r="K394" s="311">
        <v>9252</v>
      </c>
      <c r="L394" s="311">
        <v>58552</v>
      </c>
      <c r="M394" s="750">
        <f t="shared" si="12"/>
        <v>696994</v>
      </c>
    </row>
    <row r="395" spans="1:13" x14ac:dyDescent="0.25">
      <c r="A395" s="1216" t="s">
        <v>561</v>
      </c>
      <c r="B395" s="1216"/>
      <c r="C395" s="821" t="s">
        <v>1103</v>
      </c>
      <c r="D395" s="1116">
        <f t="shared" si="11"/>
        <v>533170</v>
      </c>
      <c r="E395" s="926">
        <f t="shared" si="9"/>
        <v>358941</v>
      </c>
      <c r="F395" s="311">
        <v>87721</v>
      </c>
      <c r="G395" s="311">
        <v>97964</v>
      </c>
      <c r="H395" s="311">
        <v>173256</v>
      </c>
      <c r="I395" s="1217"/>
      <c r="J395" s="311">
        <f t="shared" si="10"/>
        <v>174229</v>
      </c>
      <c r="K395" s="311">
        <v>12954</v>
      </c>
      <c r="L395" s="311">
        <v>161275</v>
      </c>
      <c r="M395" s="750">
        <f t="shared" si="12"/>
        <v>1251052</v>
      </c>
    </row>
    <row r="396" spans="1:13" x14ac:dyDescent="0.25">
      <c r="A396" s="1216" t="s">
        <v>562</v>
      </c>
      <c r="B396" s="1216"/>
      <c r="C396" s="821" t="s">
        <v>1104</v>
      </c>
      <c r="D396" s="311">
        <f t="shared" si="11"/>
        <v>1364390</v>
      </c>
      <c r="E396" s="926">
        <f t="shared" si="9"/>
        <v>956150</v>
      </c>
      <c r="F396" s="311">
        <v>280706</v>
      </c>
      <c r="G396" s="311">
        <v>353682</v>
      </c>
      <c r="H396" s="311">
        <v>321762</v>
      </c>
      <c r="I396" s="1217"/>
      <c r="J396" s="311">
        <f t="shared" si="10"/>
        <v>408240</v>
      </c>
      <c r="K396" s="311">
        <v>24056</v>
      </c>
      <c r="L396" s="311">
        <v>384184</v>
      </c>
      <c r="M396" s="750">
        <f t="shared" si="12"/>
        <v>3276690</v>
      </c>
    </row>
    <row r="397" spans="1:13" x14ac:dyDescent="0.25">
      <c r="A397" s="1216" t="s">
        <v>563</v>
      </c>
      <c r="B397" s="1216"/>
      <c r="C397" s="821" t="s">
        <v>1105</v>
      </c>
      <c r="D397" s="311">
        <f t="shared" si="11"/>
        <v>460564</v>
      </c>
      <c r="E397" s="926">
        <f t="shared" si="9"/>
        <v>363377</v>
      </c>
      <c r="F397" s="311">
        <v>105265</v>
      </c>
      <c r="G397" s="311">
        <v>84856</v>
      </c>
      <c r="H397" s="311">
        <v>173256</v>
      </c>
      <c r="I397" s="1217"/>
      <c r="J397" s="311">
        <f t="shared" si="10"/>
        <v>97187</v>
      </c>
      <c r="K397" s="311">
        <v>12954</v>
      </c>
      <c r="L397" s="311">
        <v>84233</v>
      </c>
      <c r="M397" s="750">
        <f t="shared" si="12"/>
        <v>1187318</v>
      </c>
    </row>
    <row r="398" spans="1:13" x14ac:dyDescent="0.25">
      <c r="A398" s="1216" t="s">
        <v>564</v>
      </c>
      <c r="B398" s="1216"/>
      <c r="C398" s="821" t="s">
        <v>1106</v>
      </c>
      <c r="D398" s="311">
        <f t="shared" si="11"/>
        <v>661236</v>
      </c>
      <c r="E398" s="926">
        <f t="shared" si="9"/>
        <v>487211</v>
      </c>
      <c r="F398" s="311">
        <v>137429</v>
      </c>
      <c r="G398" s="311">
        <v>151775</v>
      </c>
      <c r="H398" s="311">
        <v>198007</v>
      </c>
      <c r="I398" s="1217"/>
      <c r="J398" s="311">
        <f t="shared" si="10"/>
        <v>174025</v>
      </c>
      <c r="K398" s="311">
        <v>14804</v>
      </c>
      <c r="L398" s="311">
        <v>159221</v>
      </c>
      <c r="M398" s="750">
        <f t="shared" si="12"/>
        <v>1635658</v>
      </c>
    </row>
    <row r="399" spans="1:13" x14ac:dyDescent="0.25">
      <c r="A399" s="1216" t="s">
        <v>565</v>
      </c>
      <c r="B399" s="1216"/>
      <c r="C399" s="821" t="s">
        <v>1107</v>
      </c>
      <c r="D399" s="1116">
        <f t="shared" si="11"/>
        <v>1155540</v>
      </c>
      <c r="E399" s="1218">
        <f t="shared" si="9"/>
        <v>904050</v>
      </c>
      <c r="F399" s="1116">
        <v>233921</v>
      </c>
      <c r="G399" s="1116">
        <v>274115</v>
      </c>
      <c r="H399" s="1116">
        <v>396014</v>
      </c>
      <c r="I399" s="1219"/>
      <c r="J399" s="311">
        <f t="shared" si="10"/>
        <v>251490</v>
      </c>
      <c r="K399" s="311">
        <v>29608</v>
      </c>
      <c r="L399" s="311">
        <v>221882</v>
      </c>
      <c r="M399" s="750">
        <f t="shared" si="12"/>
        <v>2963640</v>
      </c>
    </row>
    <row r="400" spans="1:13" x14ac:dyDescent="0.25">
      <c r="A400" s="1216" t="s">
        <v>566</v>
      </c>
      <c r="B400" s="1216"/>
      <c r="C400" s="821" t="s">
        <v>1108</v>
      </c>
      <c r="D400" s="1116">
        <f t="shared" si="11"/>
        <v>408056</v>
      </c>
      <c r="E400" s="926">
        <f t="shared" si="9"/>
        <v>286836</v>
      </c>
      <c r="F400" s="311">
        <v>70177</v>
      </c>
      <c r="G400" s="311">
        <v>92905</v>
      </c>
      <c r="H400" s="311">
        <v>123754</v>
      </c>
      <c r="I400" s="1217"/>
      <c r="J400" s="311">
        <f t="shared" si="10"/>
        <v>121220</v>
      </c>
      <c r="K400" s="311">
        <v>9252</v>
      </c>
      <c r="L400" s="311">
        <v>111968</v>
      </c>
      <c r="M400" s="750">
        <f t="shared" si="12"/>
        <v>981728</v>
      </c>
    </row>
    <row r="401" spans="1:13" x14ac:dyDescent="0.25">
      <c r="A401" s="1216" t="s">
        <v>567</v>
      </c>
      <c r="B401" s="1216"/>
      <c r="C401" s="821" t="s">
        <v>1109</v>
      </c>
      <c r="D401" s="1116">
        <f t="shared" si="11"/>
        <v>393830</v>
      </c>
      <c r="E401" s="926">
        <f t="shared" si="9"/>
        <v>328487</v>
      </c>
      <c r="F401" s="311">
        <v>81873</v>
      </c>
      <c r="G401" s="311">
        <v>73358</v>
      </c>
      <c r="H401" s="311">
        <v>173256</v>
      </c>
      <c r="I401" s="1217"/>
      <c r="J401" s="311">
        <f t="shared" si="10"/>
        <v>65343</v>
      </c>
      <c r="K401" s="311">
        <v>12954</v>
      </c>
      <c r="L401" s="311">
        <v>52389</v>
      </c>
      <c r="M401" s="750">
        <f t="shared" si="12"/>
        <v>1050804</v>
      </c>
    </row>
    <row r="402" spans="1:13" x14ac:dyDescent="0.25">
      <c r="A402" s="1216" t="s">
        <v>780</v>
      </c>
      <c r="B402" s="1216"/>
      <c r="C402" s="821" t="s">
        <v>1110</v>
      </c>
      <c r="D402" s="1116">
        <f t="shared" si="11"/>
        <v>322278</v>
      </c>
      <c r="E402" s="926">
        <f t="shared" si="9"/>
        <v>243174</v>
      </c>
      <c r="F402" s="311">
        <v>58480</v>
      </c>
      <c r="G402" s="311">
        <v>60940</v>
      </c>
      <c r="H402" s="311">
        <v>123754</v>
      </c>
      <c r="I402" s="1217"/>
      <c r="J402" s="311">
        <f t="shared" si="10"/>
        <v>79104</v>
      </c>
      <c r="K402" s="311">
        <v>9252</v>
      </c>
      <c r="L402" s="311">
        <v>69852</v>
      </c>
      <c r="M402" s="750">
        <f t="shared" si="12"/>
        <v>808626</v>
      </c>
    </row>
    <row r="403" spans="1:13" x14ac:dyDescent="0.25">
      <c r="A403" s="1216" t="s">
        <v>781</v>
      </c>
      <c r="B403" s="1216"/>
      <c r="C403" s="821" t="s">
        <v>1111</v>
      </c>
      <c r="D403" s="1116">
        <f t="shared" si="11"/>
        <v>335888</v>
      </c>
      <c r="E403" s="926">
        <f t="shared" si="9"/>
        <v>280818</v>
      </c>
      <c r="F403" s="311">
        <v>64329</v>
      </c>
      <c r="G403" s="311">
        <v>43233</v>
      </c>
      <c r="H403" s="311">
        <v>173256</v>
      </c>
      <c r="I403" s="1217"/>
      <c r="J403" s="311">
        <f t="shared" si="10"/>
        <v>55070</v>
      </c>
      <c r="K403" s="311">
        <v>12954</v>
      </c>
      <c r="L403" s="311">
        <v>42116</v>
      </c>
      <c r="M403" s="750">
        <f t="shared" si="12"/>
        <v>897524</v>
      </c>
    </row>
    <row r="404" spans="1:13" x14ac:dyDescent="0.25">
      <c r="A404" s="1216" t="s">
        <v>782</v>
      </c>
      <c r="B404" s="1216"/>
      <c r="C404" s="821" t="s">
        <v>1112</v>
      </c>
      <c r="D404" s="1116">
        <f t="shared" si="11"/>
        <v>441496</v>
      </c>
      <c r="E404" s="926">
        <f t="shared" si="9"/>
        <v>364854</v>
      </c>
      <c r="F404" s="311">
        <v>90645</v>
      </c>
      <c r="G404" s="311">
        <v>100953</v>
      </c>
      <c r="H404" s="311">
        <v>173256</v>
      </c>
      <c r="I404" s="1217"/>
      <c r="J404" s="311">
        <f t="shared" si="10"/>
        <v>76642</v>
      </c>
      <c r="K404" s="311">
        <v>12954</v>
      </c>
      <c r="L404" s="311">
        <v>63688</v>
      </c>
      <c r="M404" s="750">
        <f t="shared" si="12"/>
        <v>1171204</v>
      </c>
    </row>
    <row r="405" spans="1:13" x14ac:dyDescent="0.25">
      <c r="A405" s="1216" t="s">
        <v>783</v>
      </c>
      <c r="B405" s="1216"/>
      <c r="C405" s="821" t="s">
        <v>1113</v>
      </c>
      <c r="D405" s="1116">
        <f t="shared" si="11"/>
        <v>398890</v>
      </c>
      <c r="E405" s="926">
        <f t="shared" si="9"/>
        <v>305609</v>
      </c>
      <c r="F405" s="311">
        <v>90645</v>
      </c>
      <c r="G405" s="311">
        <v>66459</v>
      </c>
      <c r="H405" s="311">
        <v>148505</v>
      </c>
      <c r="I405" s="1217"/>
      <c r="J405" s="311">
        <f t="shared" si="10"/>
        <v>93281</v>
      </c>
      <c r="K405" s="311">
        <v>11103</v>
      </c>
      <c r="L405" s="311">
        <v>82178</v>
      </c>
      <c r="M405" s="750">
        <f t="shared" si="12"/>
        <v>1010108</v>
      </c>
    </row>
    <row r="406" spans="1:13" x14ac:dyDescent="0.25">
      <c r="A406" s="1216" t="s">
        <v>784</v>
      </c>
      <c r="B406" s="1216"/>
      <c r="C406" s="821" t="s">
        <v>1114</v>
      </c>
      <c r="D406" s="1116">
        <f t="shared" si="11"/>
        <v>952927</v>
      </c>
      <c r="E406" s="926">
        <f t="shared" si="9"/>
        <v>764098</v>
      </c>
      <c r="F406" s="311">
        <v>178365</v>
      </c>
      <c r="G406" s="311">
        <v>189719</v>
      </c>
      <c r="H406" s="311">
        <v>396014</v>
      </c>
      <c r="I406" s="1217"/>
      <c r="J406" s="311">
        <f t="shared" si="10"/>
        <v>188829</v>
      </c>
      <c r="K406" s="311">
        <v>29608</v>
      </c>
      <c r="L406" s="311">
        <v>159221</v>
      </c>
      <c r="M406" s="750">
        <f t="shared" si="12"/>
        <v>2481123</v>
      </c>
    </row>
    <row r="407" spans="1:13" x14ac:dyDescent="0.25">
      <c r="A407" s="1216" t="s">
        <v>785</v>
      </c>
      <c r="B407" s="1216"/>
      <c r="C407" s="821" t="s">
        <v>1115</v>
      </c>
      <c r="D407" s="1116">
        <f t="shared" si="11"/>
        <v>248463</v>
      </c>
      <c r="E407" s="926">
        <f t="shared" si="9"/>
        <v>203258</v>
      </c>
      <c r="F407" s="311">
        <v>43860</v>
      </c>
      <c r="G407" s="311">
        <v>35644</v>
      </c>
      <c r="H407" s="311">
        <v>123754</v>
      </c>
      <c r="I407" s="1217"/>
      <c r="J407" s="311">
        <f t="shared" si="10"/>
        <v>45205</v>
      </c>
      <c r="K407" s="311">
        <v>9252</v>
      </c>
      <c r="L407" s="311">
        <v>35953</v>
      </c>
      <c r="M407" s="750">
        <f t="shared" si="12"/>
        <v>654979</v>
      </c>
    </row>
    <row r="408" spans="1:13" x14ac:dyDescent="0.25">
      <c r="A408" s="1216" t="s">
        <v>910</v>
      </c>
      <c r="B408" s="1216"/>
      <c r="C408" s="821" t="s">
        <v>1116</v>
      </c>
      <c r="D408" s="1116">
        <f t="shared" si="11"/>
        <v>7114707</v>
      </c>
      <c r="E408" s="926">
        <f t="shared" si="9"/>
        <v>5318513</v>
      </c>
      <c r="F408" s="311">
        <v>1324580</v>
      </c>
      <c r="G408" s="311">
        <v>3177153</v>
      </c>
      <c r="H408" s="311">
        <v>816780</v>
      </c>
      <c r="I408" s="311">
        <v>271325</v>
      </c>
      <c r="J408" s="311">
        <f t="shared" si="10"/>
        <v>1524869</v>
      </c>
      <c r="K408" s="311">
        <v>61066</v>
      </c>
      <c r="L408" s="311">
        <v>1463803</v>
      </c>
      <c r="M408" s="750">
        <f t="shared" si="12"/>
        <v>17751733</v>
      </c>
    </row>
    <row r="409" spans="1:13" x14ac:dyDescent="0.25">
      <c r="A409" s="1216" t="s">
        <v>911</v>
      </c>
      <c r="B409" s="1216"/>
      <c r="C409" s="821" t="s">
        <v>1117</v>
      </c>
      <c r="D409" s="1116">
        <f t="shared" si="11"/>
        <v>2355294</v>
      </c>
      <c r="E409" s="926">
        <f t="shared" si="9"/>
        <v>1544236</v>
      </c>
      <c r="F409" s="311">
        <v>371350</v>
      </c>
      <c r="G409" s="311">
        <v>727370</v>
      </c>
      <c r="H409" s="311">
        <v>445516</v>
      </c>
      <c r="I409" s="311">
        <v>271325</v>
      </c>
      <c r="J409" s="311">
        <f t="shared" si="10"/>
        <v>539733</v>
      </c>
      <c r="K409" s="311">
        <v>33309</v>
      </c>
      <c r="L409" s="311">
        <v>506424</v>
      </c>
      <c r="M409" s="750">
        <f t="shared" si="12"/>
        <v>5443766</v>
      </c>
    </row>
    <row r="410" spans="1:13" x14ac:dyDescent="0.25">
      <c r="A410" s="1216" t="s">
        <v>1118</v>
      </c>
      <c r="B410" s="1216"/>
      <c r="C410" s="821" t="s">
        <v>1119</v>
      </c>
      <c r="D410" s="1116">
        <f t="shared" si="11"/>
        <v>368106</v>
      </c>
      <c r="E410" s="926">
        <f t="shared" si="9"/>
        <v>302763</v>
      </c>
      <c r="F410" s="311">
        <v>70177</v>
      </c>
      <c r="G410" s="311">
        <v>59330</v>
      </c>
      <c r="H410" s="311">
        <v>173256</v>
      </c>
      <c r="I410" s="1217"/>
      <c r="J410" s="311">
        <f t="shared" si="10"/>
        <v>65343</v>
      </c>
      <c r="K410" s="311">
        <v>12954</v>
      </c>
      <c r="L410" s="311">
        <v>52389</v>
      </c>
      <c r="M410" s="750">
        <f t="shared" si="12"/>
        <v>973632</v>
      </c>
    </row>
    <row r="411" spans="1:13" x14ac:dyDescent="0.25">
      <c r="A411" s="1216" t="s">
        <v>1120</v>
      </c>
      <c r="B411" s="1216"/>
      <c r="C411" s="821" t="s">
        <v>1121</v>
      </c>
      <c r="D411" s="1116">
        <f t="shared" si="11"/>
        <v>116534</v>
      </c>
      <c r="E411" s="926">
        <f t="shared" si="9"/>
        <v>87152</v>
      </c>
      <c r="F411" s="311">
        <v>23392</v>
      </c>
      <c r="G411" s="311">
        <v>14258</v>
      </c>
      <c r="H411" s="311">
        <v>49502</v>
      </c>
      <c r="I411" s="1217"/>
      <c r="J411" s="311">
        <f t="shared" si="10"/>
        <v>29382</v>
      </c>
      <c r="K411" s="311">
        <v>3701</v>
      </c>
      <c r="L411" s="311">
        <v>25681</v>
      </c>
      <c r="M411" s="750">
        <f t="shared" si="12"/>
        <v>290838</v>
      </c>
    </row>
    <row r="412" spans="1:13" x14ac:dyDescent="0.25">
      <c r="A412" s="1216" t="s">
        <v>1122</v>
      </c>
      <c r="B412" s="1216"/>
      <c r="C412" s="821" t="s">
        <v>1123</v>
      </c>
      <c r="D412" s="1116">
        <f t="shared" si="11"/>
        <v>425000</v>
      </c>
      <c r="E412" s="926">
        <f t="shared" si="9"/>
        <v>314459</v>
      </c>
      <c r="F412" s="311">
        <v>81873</v>
      </c>
      <c r="G412" s="311">
        <v>59330</v>
      </c>
      <c r="H412" s="311">
        <v>173256</v>
      </c>
      <c r="I412" s="1217"/>
      <c r="J412" s="311">
        <f t="shared" si="10"/>
        <v>110541</v>
      </c>
      <c r="K412" s="311">
        <v>12954</v>
      </c>
      <c r="L412" s="311">
        <v>97587</v>
      </c>
      <c r="M412" s="750">
        <f t="shared" si="12"/>
        <v>1053918</v>
      </c>
    </row>
    <row r="413" spans="1:13" x14ac:dyDescent="0.25">
      <c r="A413" s="1216" t="s">
        <v>1124</v>
      </c>
      <c r="B413" s="1216"/>
      <c r="C413" s="821" t="s">
        <v>1125</v>
      </c>
      <c r="D413" s="1116">
        <f t="shared" si="11"/>
        <v>1105553</v>
      </c>
      <c r="E413" s="926">
        <f t="shared" si="9"/>
        <v>743946</v>
      </c>
      <c r="F413" s="311">
        <v>178365</v>
      </c>
      <c r="G413" s="311">
        <v>194318</v>
      </c>
      <c r="H413" s="311">
        <v>371263</v>
      </c>
      <c r="I413" s="1217"/>
      <c r="J413" s="311">
        <f t="shared" si="10"/>
        <v>361607</v>
      </c>
      <c r="K413" s="311">
        <v>27757</v>
      </c>
      <c r="L413" s="311">
        <v>333850</v>
      </c>
      <c r="M413" s="750">
        <f t="shared" si="12"/>
        <v>2593445</v>
      </c>
    </row>
    <row r="414" spans="1:13" x14ac:dyDescent="0.25">
      <c r="A414" s="1216" t="s">
        <v>1126</v>
      </c>
      <c r="B414" s="1216"/>
      <c r="C414" s="821" t="s">
        <v>1127</v>
      </c>
      <c r="D414" s="1116">
        <f t="shared" si="11"/>
        <v>2111652</v>
      </c>
      <c r="E414" s="926">
        <f t="shared" si="9"/>
        <v>1685330</v>
      </c>
      <c r="F414" s="311">
        <v>418135</v>
      </c>
      <c r="G414" s="311">
        <v>895932</v>
      </c>
      <c r="H414" s="311">
        <v>371263</v>
      </c>
      <c r="I414" s="311"/>
      <c r="J414" s="311">
        <f t="shared" si="10"/>
        <v>426322</v>
      </c>
      <c r="K414" s="311">
        <v>27757</v>
      </c>
      <c r="L414" s="311">
        <v>398565</v>
      </c>
      <c r="M414" s="750">
        <f t="shared" si="12"/>
        <v>5482312</v>
      </c>
    </row>
    <row r="415" spans="1:13" x14ac:dyDescent="0.25">
      <c r="A415" s="1216" t="s">
        <v>1128</v>
      </c>
      <c r="B415" s="1216"/>
      <c r="C415" s="821" t="s">
        <v>1129</v>
      </c>
      <c r="D415" s="1116">
        <f t="shared" si="11"/>
        <v>408057</v>
      </c>
      <c r="E415" s="926">
        <f t="shared" si="9"/>
        <v>338605</v>
      </c>
      <c r="F415" s="311">
        <v>81873</v>
      </c>
      <c r="G415" s="311">
        <v>83476</v>
      </c>
      <c r="H415" s="311">
        <v>173256</v>
      </c>
      <c r="I415" s="1217"/>
      <c r="J415" s="311">
        <f t="shared" si="10"/>
        <v>69452</v>
      </c>
      <c r="K415" s="311">
        <v>12954</v>
      </c>
      <c r="L415" s="311">
        <v>56498</v>
      </c>
      <c r="M415" s="750">
        <f t="shared" si="12"/>
        <v>1085267</v>
      </c>
    </row>
    <row r="416" spans="1:13" x14ac:dyDescent="0.25">
      <c r="A416" s="1216" t="s">
        <v>1130</v>
      </c>
      <c r="B416" s="1216"/>
      <c r="C416" s="821" t="s">
        <v>1131</v>
      </c>
      <c r="D416" s="1116">
        <f t="shared" si="11"/>
        <v>303388</v>
      </c>
      <c r="E416" s="926">
        <f t="shared" si="9"/>
        <v>224284</v>
      </c>
      <c r="F416" s="311">
        <v>49708</v>
      </c>
      <c r="G416" s="311">
        <v>50822</v>
      </c>
      <c r="H416" s="311">
        <v>123754</v>
      </c>
      <c r="I416" s="1217"/>
      <c r="J416" s="311">
        <f t="shared" si="10"/>
        <v>79104</v>
      </c>
      <c r="K416" s="311">
        <v>9252</v>
      </c>
      <c r="L416" s="311">
        <v>69852</v>
      </c>
      <c r="M416" s="750">
        <f t="shared" si="12"/>
        <v>751956</v>
      </c>
    </row>
    <row r="417" spans="1:15" x14ac:dyDescent="0.25">
      <c r="A417" s="1216" t="s">
        <v>1132</v>
      </c>
      <c r="B417" s="1216"/>
      <c r="C417" s="821" t="s">
        <v>1133</v>
      </c>
      <c r="D417" s="1116">
        <f t="shared" si="11"/>
        <v>163887</v>
      </c>
      <c r="E417" s="926">
        <f t="shared" si="9"/>
        <v>109852</v>
      </c>
      <c r="F417" s="311">
        <v>26316</v>
      </c>
      <c r="G417" s="311">
        <v>34034</v>
      </c>
      <c r="H417" s="311">
        <v>49502</v>
      </c>
      <c r="I417" s="1217"/>
      <c r="J417" s="311">
        <f t="shared" si="10"/>
        <v>54035</v>
      </c>
      <c r="K417" s="311">
        <v>3701</v>
      </c>
      <c r="L417" s="311">
        <v>50334</v>
      </c>
      <c r="M417" s="750">
        <f t="shared" si="12"/>
        <v>383591</v>
      </c>
    </row>
    <row r="418" spans="1:15" x14ac:dyDescent="0.25">
      <c r="A418" s="1220" t="s">
        <v>1134</v>
      </c>
      <c r="B418" s="1220"/>
      <c r="C418" s="1221" t="s">
        <v>1135</v>
      </c>
      <c r="D418" s="1116">
        <f t="shared" si="11"/>
        <v>132401</v>
      </c>
      <c r="E418" s="926">
        <f t="shared" si="9"/>
        <v>103019</v>
      </c>
      <c r="F418" s="311">
        <v>23392</v>
      </c>
      <c r="G418" s="311">
        <v>30125</v>
      </c>
      <c r="H418" s="311">
        <v>49502</v>
      </c>
      <c r="I418" s="1217"/>
      <c r="J418" s="311">
        <f t="shared" si="10"/>
        <v>29382</v>
      </c>
      <c r="K418" s="311">
        <v>3701</v>
      </c>
      <c r="L418" s="311">
        <v>25681</v>
      </c>
      <c r="M418" s="750">
        <f t="shared" si="12"/>
        <v>338439</v>
      </c>
    </row>
    <row r="419" spans="1:15" x14ac:dyDescent="0.25">
      <c r="A419" s="1216" t="s">
        <v>1136</v>
      </c>
      <c r="B419" s="1216"/>
      <c r="C419" s="821" t="s">
        <v>1137</v>
      </c>
      <c r="D419" s="1116">
        <f t="shared" si="11"/>
        <v>2736964</v>
      </c>
      <c r="E419" s="926">
        <f t="shared" si="9"/>
        <v>1896720</v>
      </c>
      <c r="F419" s="311">
        <v>476615</v>
      </c>
      <c r="G419" s="311">
        <v>776582</v>
      </c>
      <c r="H419" s="311">
        <v>643523</v>
      </c>
      <c r="I419" s="311">
        <v>271325</v>
      </c>
      <c r="J419" s="311">
        <f t="shared" si="10"/>
        <v>568919</v>
      </c>
      <c r="K419" s="311">
        <v>48113</v>
      </c>
      <c r="L419" s="311">
        <v>520806</v>
      </c>
      <c r="M419" s="750">
        <f t="shared" si="12"/>
        <v>6530404</v>
      </c>
    </row>
    <row r="420" spans="1:15" x14ac:dyDescent="0.25">
      <c r="A420" s="1216" t="s">
        <v>1138</v>
      </c>
      <c r="B420" s="1216"/>
      <c r="C420" s="821" t="s">
        <v>1139</v>
      </c>
      <c r="D420" s="1116">
        <f t="shared" si="11"/>
        <v>1576225</v>
      </c>
      <c r="E420" s="926">
        <f t="shared" si="9"/>
        <v>1314864</v>
      </c>
      <c r="F420" s="311">
        <v>315794</v>
      </c>
      <c r="G420" s="311">
        <v>429799</v>
      </c>
      <c r="H420" s="311">
        <v>569271</v>
      </c>
      <c r="I420" s="1217"/>
      <c r="J420" s="311">
        <f t="shared" si="10"/>
        <v>261361</v>
      </c>
      <c r="K420" s="311">
        <v>42561</v>
      </c>
      <c r="L420" s="311">
        <v>218800</v>
      </c>
      <c r="M420" s="750">
        <f t="shared" si="12"/>
        <v>4205953</v>
      </c>
    </row>
    <row r="421" spans="1:15" x14ac:dyDescent="0.25">
      <c r="A421" s="1216" t="s">
        <v>1140</v>
      </c>
      <c r="B421" s="1216"/>
      <c r="C421" s="821" t="s">
        <v>1141</v>
      </c>
      <c r="D421" s="1116">
        <f t="shared" si="11"/>
        <v>856803</v>
      </c>
      <c r="E421" s="926">
        <f t="shared" si="9"/>
        <v>639015</v>
      </c>
      <c r="F421" s="311">
        <v>169593</v>
      </c>
      <c r="G421" s="311">
        <v>221913</v>
      </c>
      <c r="H421" s="311">
        <v>247509</v>
      </c>
      <c r="I421" s="1217"/>
      <c r="J421" s="311">
        <f t="shared" si="10"/>
        <v>217788</v>
      </c>
      <c r="K421" s="311">
        <v>18505</v>
      </c>
      <c r="L421" s="311">
        <v>199283</v>
      </c>
      <c r="M421" s="750">
        <f t="shared" si="12"/>
        <v>2134833</v>
      </c>
    </row>
    <row r="422" spans="1:15" x14ac:dyDescent="0.25">
      <c r="A422" s="1216" t="s">
        <v>1142</v>
      </c>
      <c r="B422" s="1216"/>
      <c r="C422" s="821" t="s">
        <v>1143</v>
      </c>
      <c r="D422" s="1116">
        <f t="shared" si="11"/>
        <v>1139628</v>
      </c>
      <c r="E422" s="926">
        <f t="shared" si="9"/>
        <v>674346</v>
      </c>
      <c r="F422" s="311">
        <v>190061</v>
      </c>
      <c r="G422" s="311">
        <v>212025</v>
      </c>
      <c r="H422" s="311">
        <v>272260</v>
      </c>
      <c r="I422" s="311">
        <v>271325</v>
      </c>
      <c r="J422" s="311">
        <f t="shared" si="10"/>
        <v>193957</v>
      </c>
      <c r="K422" s="311">
        <v>20355</v>
      </c>
      <c r="L422" s="311">
        <v>173602</v>
      </c>
      <c r="M422" s="750">
        <f t="shared" si="12"/>
        <v>2488320</v>
      </c>
    </row>
    <row r="423" spans="1:15" x14ac:dyDescent="0.25">
      <c r="A423" s="1216" t="s">
        <v>1144</v>
      </c>
      <c r="B423" s="1216"/>
      <c r="C423" s="821" t="s">
        <v>1145</v>
      </c>
      <c r="D423" s="1116">
        <f t="shared" si="11"/>
        <v>1118460</v>
      </c>
      <c r="E423" s="926">
        <f t="shared" si="9"/>
        <v>813962</v>
      </c>
      <c r="F423" s="311">
        <v>192985</v>
      </c>
      <c r="G423" s="311">
        <v>175461</v>
      </c>
      <c r="H423" s="311">
        <v>445516</v>
      </c>
      <c r="I423" s="1217"/>
      <c r="J423" s="311">
        <f t="shared" si="10"/>
        <v>304498</v>
      </c>
      <c r="K423" s="311">
        <v>33309</v>
      </c>
      <c r="L423" s="311">
        <v>271189</v>
      </c>
      <c r="M423" s="750">
        <f t="shared" si="12"/>
        <v>2746384</v>
      </c>
    </row>
    <row r="424" spans="1:15" x14ac:dyDescent="0.25">
      <c r="A424" s="1216" t="s">
        <v>1146</v>
      </c>
      <c r="B424" s="1216"/>
      <c r="C424" s="821" t="s">
        <v>1147</v>
      </c>
      <c r="D424" s="1116">
        <f t="shared" si="11"/>
        <v>904095</v>
      </c>
      <c r="E424" s="926">
        <f>SUM(F424:H424)</f>
        <v>702328</v>
      </c>
      <c r="F424" s="311">
        <v>154973</v>
      </c>
      <c r="G424" s="311">
        <v>225593</v>
      </c>
      <c r="H424" s="311">
        <v>321762</v>
      </c>
      <c r="I424" s="1217"/>
      <c r="J424" s="311">
        <f>SUM(K424:L424)</f>
        <v>201767</v>
      </c>
      <c r="K424" s="311">
        <v>24056</v>
      </c>
      <c r="L424" s="311">
        <v>177711</v>
      </c>
      <c r="M424" s="750">
        <f t="shared" si="12"/>
        <v>2308751</v>
      </c>
    </row>
    <row r="425" spans="1:15" x14ac:dyDescent="0.25">
      <c r="A425" s="1216" t="s">
        <v>1148</v>
      </c>
      <c r="B425" s="1216"/>
      <c r="C425" s="821" t="s">
        <v>1149</v>
      </c>
      <c r="D425" s="1116">
        <f>E425+I425+J425</f>
        <v>424508</v>
      </c>
      <c r="E425" s="926">
        <f>SUM(F425:H425)</f>
        <v>340675</v>
      </c>
      <c r="F425" s="311">
        <v>81873</v>
      </c>
      <c r="G425" s="1255">
        <v>85546</v>
      </c>
      <c r="H425" s="1255">
        <v>173256</v>
      </c>
      <c r="I425" s="1256"/>
      <c r="J425" s="1255">
        <f>SUM(K425:L425)</f>
        <v>83833</v>
      </c>
      <c r="K425" s="1255">
        <v>12954</v>
      </c>
      <c r="L425" s="1255">
        <v>70879</v>
      </c>
      <c r="M425" s="750">
        <f t="shared" si="12"/>
        <v>1105858</v>
      </c>
    </row>
    <row r="426" spans="1:15" hidden="1" x14ac:dyDescent="0.25">
      <c r="A426" s="1220"/>
      <c r="B426" s="1220"/>
      <c r="C426" s="745" t="s">
        <v>168</v>
      </c>
      <c r="D426" s="1116"/>
      <c r="E426" s="926"/>
      <c r="F426" s="311"/>
      <c r="G426" s="1255"/>
      <c r="H426" s="1255"/>
      <c r="I426" s="1256"/>
      <c r="J426" s="1255"/>
      <c r="K426" s="1255"/>
      <c r="L426" s="1255"/>
      <c r="M426" s="750">
        <f t="shared" si="12"/>
        <v>0</v>
      </c>
      <c r="N426" s="1057"/>
      <c r="O426" s="1057"/>
    </row>
    <row r="427" spans="1:15" ht="81.599999999999994" customHeight="1" x14ac:dyDescent="0.25">
      <c r="A427" s="1792" t="s">
        <v>1037</v>
      </c>
      <c r="B427" s="1792" t="s">
        <v>1464</v>
      </c>
      <c r="C427" s="1738" t="s">
        <v>1822</v>
      </c>
      <c r="D427" s="1833">
        <f>SUM(D429:D494)</f>
        <v>3782740</v>
      </c>
      <c r="E427" s="1107" t="s">
        <v>1797</v>
      </c>
      <c r="F427" s="1108" t="s">
        <v>1798</v>
      </c>
      <c r="G427" s="1202"/>
      <c r="H427" s="1203"/>
      <c r="I427" s="1203"/>
      <c r="J427" s="1203"/>
      <c r="K427" s="1203"/>
      <c r="L427" s="1204"/>
      <c r="M427" s="750">
        <f t="shared" si="12"/>
        <v>3782740</v>
      </c>
      <c r="N427" s="858">
        <f>D427-дод3!E80</f>
        <v>0</v>
      </c>
      <c r="O427" s="857"/>
    </row>
    <row r="428" spans="1:15" ht="33.75" customHeight="1" x14ac:dyDescent="0.25">
      <c r="A428" s="1793"/>
      <c r="B428" s="1793"/>
      <c r="C428" s="1740"/>
      <c r="D428" s="1834"/>
      <c r="E428" s="1105">
        <f>SUM(E429:E495)</f>
        <v>2859195</v>
      </c>
      <c r="F428" s="1109">
        <f>SUM(F429:F495)</f>
        <v>923545</v>
      </c>
      <c r="G428" s="1205"/>
      <c r="H428" s="1211"/>
      <c r="I428" s="1211"/>
      <c r="J428" s="1211"/>
      <c r="K428" s="1211"/>
      <c r="L428" s="1206"/>
      <c r="M428" s="750">
        <f t="shared" si="12"/>
        <v>3782740</v>
      </c>
    </row>
    <row r="429" spans="1:15" ht="18.75" hidden="1" x14ac:dyDescent="0.25">
      <c r="A429" s="751" t="s">
        <v>526</v>
      </c>
      <c r="B429" s="751"/>
      <c r="C429" s="745" t="s">
        <v>1060</v>
      </c>
      <c r="D429" s="867">
        <f>SUM(E429:H429)</f>
        <v>0</v>
      </c>
      <c r="E429" s="863"/>
      <c r="F429" s="875"/>
      <c r="G429" s="875"/>
      <c r="H429" s="876"/>
      <c r="I429" s="876"/>
      <c r="J429" s="876"/>
      <c r="K429" s="876"/>
      <c r="L429" s="877"/>
      <c r="M429" s="750">
        <f t="shared" si="12"/>
        <v>0</v>
      </c>
    </row>
    <row r="430" spans="1:15" ht="18.75" x14ac:dyDescent="0.25">
      <c r="A430" s="751" t="s">
        <v>527</v>
      </c>
      <c r="B430" s="751"/>
      <c r="C430" s="745" t="s">
        <v>1069</v>
      </c>
      <c r="D430" s="867">
        <f t="shared" ref="D430:D493" si="13">SUM(E430:H430)</f>
        <v>13290</v>
      </c>
      <c r="E430" s="863">
        <v>8860</v>
      </c>
      <c r="F430" s="863">
        <v>4430</v>
      </c>
      <c r="G430" s="875"/>
      <c r="H430" s="876"/>
      <c r="I430" s="876"/>
      <c r="J430" s="876"/>
      <c r="K430" s="876"/>
      <c r="L430" s="877"/>
      <c r="M430" s="750">
        <f t="shared" si="12"/>
        <v>26580</v>
      </c>
    </row>
    <row r="431" spans="1:15" ht="18.75" hidden="1" x14ac:dyDescent="0.25">
      <c r="A431" s="751" t="s">
        <v>528</v>
      </c>
      <c r="B431" s="751"/>
      <c r="C431" s="745" t="s">
        <v>1070</v>
      </c>
      <c r="D431" s="867">
        <f t="shared" si="13"/>
        <v>0</v>
      </c>
      <c r="E431" s="863"/>
      <c r="F431" s="863"/>
      <c r="G431" s="875"/>
      <c r="H431" s="876"/>
      <c r="I431" s="876"/>
      <c r="J431" s="876"/>
      <c r="K431" s="876"/>
      <c r="L431" s="877"/>
      <c r="M431" s="750">
        <f t="shared" si="12"/>
        <v>0</v>
      </c>
    </row>
    <row r="432" spans="1:15" ht="18.75" x14ac:dyDescent="0.25">
      <c r="A432" s="751" t="s">
        <v>529</v>
      </c>
      <c r="B432" s="751"/>
      <c r="C432" s="745" t="s">
        <v>1071</v>
      </c>
      <c r="D432" s="914">
        <f t="shared" si="13"/>
        <v>11073</v>
      </c>
      <c r="E432" s="463">
        <v>11073</v>
      </c>
      <c r="F432" s="463"/>
      <c r="G432" s="875"/>
      <c r="H432" s="876"/>
      <c r="I432" s="876"/>
      <c r="J432" s="876"/>
      <c r="K432" s="876"/>
      <c r="L432" s="877"/>
      <c r="M432" s="750">
        <f t="shared" si="12"/>
        <v>22146</v>
      </c>
    </row>
    <row r="433" spans="1:13" ht="18.75" x14ac:dyDescent="0.25">
      <c r="A433" s="751" t="s">
        <v>530</v>
      </c>
      <c r="B433" s="751"/>
      <c r="C433" s="745" t="s">
        <v>1072</v>
      </c>
      <c r="D433" s="914">
        <f t="shared" si="13"/>
        <v>22146</v>
      </c>
      <c r="E433" s="463">
        <v>22146</v>
      </c>
      <c r="F433" s="463"/>
      <c r="G433" s="875"/>
      <c r="H433" s="876"/>
      <c r="I433" s="876"/>
      <c r="J433" s="876"/>
      <c r="K433" s="876"/>
      <c r="L433" s="877"/>
      <c r="M433" s="750">
        <f t="shared" si="12"/>
        <v>44292</v>
      </c>
    </row>
    <row r="434" spans="1:13" ht="18.75" x14ac:dyDescent="0.25">
      <c r="A434" s="751" t="s">
        <v>531</v>
      </c>
      <c r="B434" s="751"/>
      <c r="C434" s="745" t="s">
        <v>1073</v>
      </c>
      <c r="D434" s="914">
        <f t="shared" si="13"/>
        <v>15503</v>
      </c>
      <c r="E434" s="463">
        <v>4430</v>
      </c>
      <c r="F434" s="463">
        <v>11073</v>
      </c>
      <c r="G434" s="875"/>
      <c r="H434" s="876"/>
      <c r="I434" s="876"/>
      <c r="J434" s="876"/>
      <c r="K434" s="876"/>
      <c r="L434" s="877"/>
      <c r="M434" s="750">
        <f t="shared" si="12"/>
        <v>31006</v>
      </c>
    </row>
    <row r="435" spans="1:13" ht="18.75" x14ac:dyDescent="0.25">
      <c r="A435" s="751" t="s">
        <v>532</v>
      </c>
      <c r="B435" s="751"/>
      <c r="C435" s="745" t="s">
        <v>1074</v>
      </c>
      <c r="D435" s="914">
        <f t="shared" si="13"/>
        <v>26576</v>
      </c>
      <c r="E435" s="463">
        <f>22146+4430</f>
        <v>26576</v>
      </c>
      <c r="F435" s="463"/>
      <c r="G435" s="875"/>
      <c r="H435" s="876"/>
      <c r="I435" s="876"/>
      <c r="J435" s="876"/>
      <c r="K435" s="876"/>
      <c r="L435" s="877"/>
      <c r="M435" s="750">
        <f t="shared" si="12"/>
        <v>53152</v>
      </c>
    </row>
    <row r="436" spans="1:13" ht="18.75" x14ac:dyDescent="0.25">
      <c r="A436" s="751" t="s">
        <v>533</v>
      </c>
      <c r="B436" s="751"/>
      <c r="C436" s="745" t="s">
        <v>1075</v>
      </c>
      <c r="D436" s="914">
        <f t="shared" si="13"/>
        <v>11073</v>
      </c>
      <c r="E436" s="463"/>
      <c r="F436" s="463">
        <v>11073</v>
      </c>
      <c r="G436" s="875"/>
      <c r="H436" s="876"/>
      <c r="I436" s="876"/>
      <c r="J436" s="876"/>
      <c r="K436" s="876"/>
      <c r="L436" s="877"/>
      <c r="M436" s="750">
        <f t="shared" si="12"/>
        <v>22146</v>
      </c>
    </row>
    <row r="437" spans="1:13" ht="18.75" x14ac:dyDescent="0.25">
      <c r="A437" s="751" t="s">
        <v>534</v>
      </c>
      <c r="B437" s="751"/>
      <c r="C437" s="745" t="s">
        <v>1076</v>
      </c>
      <c r="D437" s="867">
        <f t="shared" si="13"/>
        <v>4430</v>
      </c>
      <c r="E437" s="863">
        <v>4430</v>
      </c>
      <c r="F437" s="863"/>
      <c r="G437" s="875"/>
      <c r="H437" s="876"/>
      <c r="I437" s="876"/>
      <c r="J437" s="876"/>
      <c r="K437" s="876"/>
      <c r="L437" s="877"/>
      <c r="M437" s="750">
        <f t="shared" si="12"/>
        <v>8860</v>
      </c>
    </row>
    <row r="438" spans="1:13" ht="18.75" x14ac:dyDescent="0.25">
      <c r="A438" s="751" t="s">
        <v>535</v>
      </c>
      <c r="B438" s="751"/>
      <c r="C438" s="745" t="s">
        <v>1077</v>
      </c>
      <c r="D438" s="867">
        <f t="shared" si="13"/>
        <v>13290</v>
      </c>
      <c r="E438" s="863">
        <v>13290</v>
      </c>
      <c r="F438" s="863"/>
      <c r="G438" s="875"/>
      <c r="H438" s="876"/>
      <c r="I438" s="876"/>
      <c r="J438" s="876"/>
      <c r="K438" s="876"/>
      <c r="L438" s="877"/>
      <c r="M438" s="750">
        <f t="shared" si="12"/>
        <v>26580</v>
      </c>
    </row>
    <row r="439" spans="1:13" ht="18.75" x14ac:dyDescent="0.25">
      <c r="A439" s="751" t="s">
        <v>536</v>
      </c>
      <c r="B439" s="751"/>
      <c r="C439" s="745" t="s">
        <v>1078</v>
      </c>
      <c r="D439" s="914">
        <f t="shared" si="13"/>
        <v>22146</v>
      </c>
      <c r="E439" s="463">
        <v>11073</v>
      </c>
      <c r="F439" s="463">
        <v>11073</v>
      </c>
      <c r="G439" s="875"/>
      <c r="H439" s="876"/>
      <c r="I439" s="876"/>
      <c r="J439" s="876"/>
      <c r="K439" s="876"/>
      <c r="L439" s="877"/>
      <c r="M439" s="750">
        <f t="shared" si="12"/>
        <v>44292</v>
      </c>
    </row>
    <row r="440" spans="1:13" ht="18.75" x14ac:dyDescent="0.25">
      <c r="A440" s="751" t="s">
        <v>537</v>
      </c>
      <c r="B440" s="751"/>
      <c r="C440" s="745" t="s">
        <v>1079</v>
      </c>
      <c r="D440" s="914">
        <f t="shared" si="13"/>
        <v>66442</v>
      </c>
      <c r="E440" s="463">
        <f>22146+17720</f>
        <v>39866</v>
      </c>
      <c r="F440" s="463">
        <f>22146+4430</f>
        <v>26576</v>
      </c>
      <c r="G440" s="875"/>
      <c r="H440" s="876"/>
      <c r="I440" s="876"/>
      <c r="J440" s="876"/>
      <c r="K440" s="876"/>
      <c r="L440" s="877"/>
      <c r="M440" s="750">
        <f t="shared" si="12"/>
        <v>132884</v>
      </c>
    </row>
    <row r="441" spans="1:13" ht="18.75" x14ac:dyDescent="0.25">
      <c r="A441" s="751" t="s">
        <v>538</v>
      </c>
      <c r="B441" s="751"/>
      <c r="C441" s="745" t="s">
        <v>1080</v>
      </c>
      <c r="D441" s="914">
        <f t="shared" si="13"/>
        <v>188253</v>
      </c>
      <c r="E441" s="463">
        <f>77511+62020</f>
        <v>139531</v>
      </c>
      <c r="F441" s="463">
        <f>44292+4430</f>
        <v>48722</v>
      </c>
      <c r="G441" s="875"/>
      <c r="H441" s="876"/>
      <c r="I441" s="876"/>
      <c r="J441" s="876"/>
      <c r="K441" s="876"/>
      <c r="L441" s="877"/>
      <c r="M441" s="750">
        <f t="shared" si="12"/>
        <v>376506</v>
      </c>
    </row>
    <row r="442" spans="1:13" ht="18.75" x14ac:dyDescent="0.25">
      <c r="A442" s="751" t="s">
        <v>539</v>
      </c>
      <c r="B442" s="751"/>
      <c r="C442" s="745" t="s">
        <v>1081</v>
      </c>
      <c r="D442" s="914">
        <f t="shared" si="13"/>
        <v>64229</v>
      </c>
      <c r="E442" s="463">
        <f>33219+8860</f>
        <v>42079</v>
      </c>
      <c r="F442" s="463">
        <v>22150</v>
      </c>
      <c r="G442" s="875"/>
      <c r="H442" s="876"/>
      <c r="I442" s="876"/>
      <c r="J442" s="876"/>
      <c r="K442" s="876"/>
      <c r="L442" s="877"/>
      <c r="M442" s="750">
        <f t="shared" si="12"/>
        <v>128458</v>
      </c>
    </row>
    <row r="443" spans="1:13" ht="18.75" x14ac:dyDescent="0.25">
      <c r="A443" s="751" t="s">
        <v>540</v>
      </c>
      <c r="B443" s="751"/>
      <c r="C443" s="745" t="s">
        <v>1082</v>
      </c>
      <c r="D443" s="867">
        <f t="shared" si="13"/>
        <v>17720</v>
      </c>
      <c r="E443" s="863">
        <v>17720</v>
      </c>
      <c r="F443" s="863"/>
      <c r="G443" s="875"/>
      <c r="H443" s="876"/>
      <c r="I443" s="876"/>
      <c r="J443" s="876"/>
      <c r="K443" s="876"/>
      <c r="L443" s="877"/>
      <c r="M443" s="750">
        <f t="shared" si="12"/>
        <v>35440</v>
      </c>
    </row>
    <row r="444" spans="1:13" ht="18.75" x14ac:dyDescent="0.25">
      <c r="A444" s="751" t="s">
        <v>541</v>
      </c>
      <c r="B444" s="751"/>
      <c r="C444" s="745" t="s">
        <v>1083</v>
      </c>
      <c r="D444" s="867">
        <f t="shared" si="13"/>
        <v>4430</v>
      </c>
      <c r="E444" s="863">
        <v>4430</v>
      </c>
      <c r="F444" s="863"/>
      <c r="G444" s="875"/>
      <c r="H444" s="876"/>
      <c r="I444" s="876"/>
      <c r="J444" s="876"/>
      <c r="K444" s="876"/>
      <c r="L444" s="877"/>
      <c r="M444" s="750">
        <f t="shared" si="12"/>
        <v>8860</v>
      </c>
    </row>
    <row r="445" spans="1:13" ht="18.75" x14ac:dyDescent="0.25">
      <c r="A445" s="751" t="s">
        <v>542</v>
      </c>
      <c r="B445" s="751"/>
      <c r="C445" s="745" t="s">
        <v>1084</v>
      </c>
      <c r="D445" s="914">
        <f t="shared" si="13"/>
        <v>57586</v>
      </c>
      <c r="E445" s="463">
        <f>22146+31010</f>
        <v>53156</v>
      </c>
      <c r="F445" s="463">
        <v>4430</v>
      </c>
      <c r="G445" s="875"/>
      <c r="H445" s="876"/>
      <c r="I445" s="876"/>
      <c r="J445" s="876"/>
      <c r="K445" s="876"/>
      <c r="L445" s="877"/>
      <c r="M445" s="750">
        <f t="shared" si="12"/>
        <v>115172</v>
      </c>
    </row>
    <row r="446" spans="1:13" ht="18.75" x14ac:dyDescent="0.25">
      <c r="A446" s="751" t="s">
        <v>543</v>
      </c>
      <c r="B446" s="751"/>
      <c r="C446" s="745" t="s">
        <v>1085</v>
      </c>
      <c r="D446" s="914">
        <f t="shared" si="13"/>
        <v>33223</v>
      </c>
      <c r="E446" s="463">
        <f>11073+22150</f>
        <v>33223</v>
      </c>
      <c r="F446" s="463"/>
      <c r="G446" s="875"/>
      <c r="H446" s="876"/>
      <c r="I446" s="876"/>
      <c r="J446" s="876"/>
      <c r="K446" s="876"/>
      <c r="L446" s="877"/>
      <c r="M446" s="750">
        <f t="shared" si="12"/>
        <v>66446</v>
      </c>
    </row>
    <row r="447" spans="1:13" ht="18.75" x14ac:dyDescent="0.25">
      <c r="A447" s="751" t="s">
        <v>544</v>
      </c>
      <c r="B447" s="751"/>
      <c r="C447" s="745" t="s">
        <v>1086</v>
      </c>
      <c r="D447" s="914">
        <f t="shared" si="13"/>
        <v>24363</v>
      </c>
      <c r="E447" s="463">
        <v>13290</v>
      </c>
      <c r="F447" s="463">
        <v>11073</v>
      </c>
      <c r="G447" s="875"/>
      <c r="H447" s="876"/>
      <c r="I447" s="876"/>
      <c r="J447" s="876"/>
      <c r="K447" s="876"/>
      <c r="L447" s="877"/>
      <c r="M447" s="750">
        <f t="shared" si="12"/>
        <v>48726</v>
      </c>
    </row>
    <row r="448" spans="1:13" ht="18.75" x14ac:dyDescent="0.25">
      <c r="A448" s="751" t="s">
        <v>545</v>
      </c>
      <c r="B448" s="751"/>
      <c r="C448" s="745" t="s">
        <v>1087</v>
      </c>
      <c r="D448" s="914">
        <f t="shared" si="13"/>
        <v>108521</v>
      </c>
      <c r="E448" s="463">
        <f>66438+31010</f>
        <v>97448</v>
      </c>
      <c r="F448" s="463">
        <v>11073</v>
      </c>
      <c r="G448" s="875"/>
      <c r="H448" s="876"/>
      <c r="I448" s="876"/>
      <c r="J448" s="876"/>
      <c r="K448" s="876"/>
      <c r="L448" s="877"/>
      <c r="M448" s="750">
        <f t="shared" si="12"/>
        <v>217042</v>
      </c>
    </row>
    <row r="449" spans="1:13" ht="18.75" x14ac:dyDescent="0.25">
      <c r="A449" s="751" t="s">
        <v>546</v>
      </c>
      <c r="B449" s="751"/>
      <c r="C449" s="745" t="s">
        <v>1088</v>
      </c>
      <c r="D449" s="914">
        <f t="shared" si="13"/>
        <v>64225</v>
      </c>
      <c r="E449" s="463">
        <f>11073+8860</f>
        <v>19933</v>
      </c>
      <c r="F449" s="463">
        <v>44292</v>
      </c>
      <c r="G449" s="875"/>
      <c r="H449" s="876"/>
      <c r="I449" s="876"/>
      <c r="J449" s="876"/>
      <c r="K449" s="876"/>
      <c r="L449" s="877"/>
      <c r="M449" s="750">
        <f t="shared" si="12"/>
        <v>128450</v>
      </c>
    </row>
    <row r="450" spans="1:13" ht="18.75" x14ac:dyDescent="0.25">
      <c r="A450" s="751" t="s">
        <v>547</v>
      </c>
      <c r="B450" s="751"/>
      <c r="C450" s="745" t="s">
        <v>1089</v>
      </c>
      <c r="D450" s="867">
        <f t="shared" si="13"/>
        <v>4430</v>
      </c>
      <c r="E450" s="863"/>
      <c r="F450" s="863">
        <v>4430</v>
      </c>
      <c r="G450" s="875"/>
      <c r="H450" s="876"/>
      <c r="I450" s="876"/>
      <c r="J450" s="876"/>
      <c r="K450" s="876"/>
      <c r="L450" s="877"/>
      <c r="M450" s="750">
        <f t="shared" si="12"/>
        <v>8860</v>
      </c>
    </row>
    <row r="451" spans="1:13" ht="18.75" x14ac:dyDescent="0.25">
      <c r="A451" s="751" t="s">
        <v>548</v>
      </c>
      <c r="B451" s="751"/>
      <c r="C451" s="745" t="s">
        <v>1090</v>
      </c>
      <c r="D451" s="914">
        <f t="shared" si="13"/>
        <v>24363</v>
      </c>
      <c r="E451" s="463">
        <f>11073+13290</f>
        <v>24363</v>
      </c>
      <c r="F451" s="463"/>
      <c r="G451" s="875"/>
      <c r="H451" s="876"/>
      <c r="I451" s="876"/>
      <c r="J451" s="876"/>
      <c r="K451" s="876"/>
      <c r="L451" s="877"/>
      <c r="M451" s="750">
        <f t="shared" si="12"/>
        <v>48726</v>
      </c>
    </row>
    <row r="452" spans="1:13" ht="18.75" x14ac:dyDescent="0.25">
      <c r="A452" s="751" t="s">
        <v>549</v>
      </c>
      <c r="B452" s="751"/>
      <c r="C452" s="745" t="s">
        <v>1091</v>
      </c>
      <c r="D452" s="914">
        <f t="shared" si="13"/>
        <v>15503</v>
      </c>
      <c r="E452" s="463">
        <v>11073</v>
      </c>
      <c r="F452" s="463">
        <v>4430</v>
      </c>
      <c r="G452" s="875"/>
      <c r="H452" s="876"/>
      <c r="I452" s="876"/>
      <c r="J452" s="876"/>
      <c r="K452" s="876"/>
      <c r="L452" s="877"/>
      <c r="M452" s="750">
        <f t="shared" si="12"/>
        <v>31006</v>
      </c>
    </row>
    <row r="453" spans="1:13" ht="18.75" x14ac:dyDescent="0.25">
      <c r="A453" s="751" t="s">
        <v>550</v>
      </c>
      <c r="B453" s="751"/>
      <c r="C453" s="745" t="s">
        <v>1092</v>
      </c>
      <c r="D453" s="914">
        <f t="shared" si="13"/>
        <v>15503</v>
      </c>
      <c r="E453" s="463">
        <v>4430</v>
      </c>
      <c r="F453" s="463">
        <v>11073</v>
      </c>
      <c r="G453" s="875"/>
      <c r="H453" s="876"/>
      <c r="I453" s="876"/>
      <c r="J453" s="876"/>
      <c r="K453" s="876"/>
      <c r="L453" s="877"/>
      <c r="M453" s="750">
        <f t="shared" si="12"/>
        <v>31006</v>
      </c>
    </row>
    <row r="454" spans="1:13" ht="18.75" hidden="1" x14ac:dyDescent="0.25">
      <c r="A454" s="751" t="s">
        <v>551</v>
      </c>
      <c r="B454" s="751"/>
      <c r="C454" s="745" t="s">
        <v>1093</v>
      </c>
      <c r="D454" s="867">
        <f t="shared" si="13"/>
        <v>0</v>
      </c>
      <c r="E454" s="863"/>
      <c r="F454" s="863"/>
      <c r="G454" s="875"/>
      <c r="H454" s="876"/>
      <c r="I454" s="876"/>
      <c r="J454" s="876"/>
      <c r="K454" s="876"/>
      <c r="L454" s="877"/>
      <c r="M454" s="750">
        <f t="shared" si="12"/>
        <v>0</v>
      </c>
    </row>
    <row r="455" spans="1:13" ht="18.75" x14ac:dyDescent="0.25">
      <c r="A455" s="751" t="s">
        <v>552</v>
      </c>
      <c r="B455" s="751"/>
      <c r="C455" s="745" t="s">
        <v>1094</v>
      </c>
      <c r="D455" s="914">
        <f t="shared" si="13"/>
        <v>15503</v>
      </c>
      <c r="E455" s="463">
        <f>11073+4430</f>
        <v>15503</v>
      </c>
      <c r="F455" s="463"/>
      <c r="G455" s="875"/>
      <c r="H455" s="876"/>
      <c r="I455" s="876"/>
      <c r="J455" s="876"/>
      <c r="K455" s="876"/>
      <c r="L455" s="877"/>
      <c r="M455" s="750">
        <f t="shared" ref="M455:M518" si="14">SUM(D455:H455)</f>
        <v>31006</v>
      </c>
    </row>
    <row r="456" spans="1:13" ht="18.75" hidden="1" x14ac:dyDescent="0.25">
      <c r="A456" s="751" t="s">
        <v>553</v>
      </c>
      <c r="B456" s="751"/>
      <c r="C456" s="745" t="s">
        <v>1095</v>
      </c>
      <c r="D456" s="867">
        <f t="shared" si="13"/>
        <v>0</v>
      </c>
      <c r="E456" s="863"/>
      <c r="F456" s="863"/>
      <c r="G456" s="875"/>
      <c r="H456" s="876"/>
      <c r="I456" s="876"/>
      <c r="J456" s="876"/>
      <c r="K456" s="876"/>
      <c r="L456" s="877"/>
      <c r="M456" s="750">
        <f t="shared" si="14"/>
        <v>0</v>
      </c>
    </row>
    <row r="457" spans="1:13" ht="18.75" x14ac:dyDescent="0.25">
      <c r="A457" s="751" t="s">
        <v>554</v>
      </c>
      <c r="B457" s="751"/>
      <c r="C457" s="745" t="s">
        <v>1096</v>
      </c>
      <c r="D457" s="914">
        <f t="shared" si="13"/>
        <v>203744</v>
      </c>
      <c r="E457" s="463">
        <v>199314</v>
      </c>
      <c r="F457" s="463">
        <v>4430</v>
      </c>
      <c r="G457" s="875"/>
      <c r="H457" s="876"/>
      <c r="I457" s="876"/>
      <c r="J457" s="876"/>
      <c r="K457" s="876"/>
      <c r="L457" s="877"/>
      <c r="M457" s="750">
        <f t="shared" si="14"/>
        <v>407488</v>
      </c>
    </row>
    <row r="458" spans="1:13" ht="18.75" x14ac:dyDescent="0.25">
      <c r="A458" s="751" t="s">
        <v>555</v>
      </c>
      <c r="B458" s="751"/>
      <c r="C458" s="745" t="s">
        <v>1097</v>
      </c>
      <c r="D458" s="914">
        <f t="shared" si="13"/>
        <v>101874</v>
      </c>
      <c r="E458" s="463">
        <f>88584+13290</f>
        <v>101874</v>
      </c>
      <c r="F458" s="463"/>
      <c r="G458" s="875"/>
      <c r="H458" s="876"/>
      <c r="I458" s="876"/>
      <c r="J458" s="876"/>
      <c r="K458" s="876"/>
      <c r="L458" s="877"/>
      <c r="M458" s="750">
        <f t="shared" si="14"/>
        <v>203748</v>
      </c>
    </row>
    <row r="459" spans="1:13" ht="18.75" x14ac:dyDescent="0.25">
      <c r="A459" s="751" t="s">
        <v>556</v>
      </c>
      <c r="B459" s="751"/>
      <c r="C459" s="745" t="s">
        <v>1098</v>
      </c>
      <c r="D459" s="914">
        <f t="shared" si="13"/>
        <v>42079</v>
      </c>
      <c r="E459" s="463">
        <f>33219+8860</f>
        <v>42079</v>
      </c>
      <c r="F459" s="463"/>
      <c r="G459" s="875"/>
      <c r="H459" s="876"/>
      <c r="I459" s="876"/>
      <c r="J459" s="876"/>
      <c r="K459" s="876"/>
      <c r="L459" s="877"/>
      <c r="M459" s="750">
        <f t="shared" si="14"/>
        <v>84158</v>
      </c>
    </row>
    <row r="460" spans="1:13" ht="18.75" x14ac:dyDescent="0.25">
      <c r="A460" s="751" t="s">
        <v>557</v>
      </c>
      <c r="B460" s="751"/>
      <c r="C460" s="745" t="s">
        <v>1099</v>
      </c>
      <c r="D460" s="914">
        <f t="shared" si="13"/>
        <v>39866</v>
      </c>
      <c r="E460" s="463">
        <f>22146+8860</f>
        <v>31006</v>
      </c>
      <c r="F460" s="463">
        <v>8860</v>
      </c>
      <c r="G460" s="875"/>
      <c r="H460" s="876"/>
      <c r="I460" s="876"/>
      <c r="J460" s="876"/>
      <c r="K460" s="876"/>
      <c r="L460" s="877"/>
      <c r="M460" s="750">
        <f t="shared" si="14"/>
        <v>79732</v>
      </c>
    </row>
    <row r="461" spans="1:13" ht="18.75" x14ac:dyDescent="0.25">
      <c r="A461" s="751" t="s">
        <v>558</v>
      </c>
      <c r="B461" s="751"/>
      <c r="C461" s="745" t="s">
        <v>1100</v>
      </c>
      <c r="D461" s="914">
        <f t="shared" si="13"/>
        <v>31006</v>
      </c>
      <c r="E461" s="463">
        <v>11073</v>
      </c>
      <c r="F461" s="463">
        <f>11073+8860</f>
        <v>19933</v>
      </c>
      <c r="G461" s="875"/>
      <c r="H461" s="876"/>
      <c r="I461" s="876"/>
      <c r="J461" s="876"/>
      <c r="K461" s="876"/>
      <c r="L461" s="877"/>
      <c r="M461" s="750">
        <f t="shared" si="14"/>
        <v>62012</v>
      </c>
    </row>
    <row r="462" spans="1:13" ht="18.75" x14ac:dyDescent="0.25">
      <c r="A462" s="751" t="s">
        <v>559</v>
      </c>
      <c r="B462" s="751"/>
      <c r="C462" s="745" t="s">
        <v>1101</v>
      </c>
      <c r="D462" s="914">
        <f t="shared" si="13"/>
        <v>33219</v>
      </c>
      <c r="E462" s="463">
        <v>33219</v>
      </c>
      <c r="F462" s="463"/>
      <c r="G462" s="875"/>
      <c r="H462" s="876"/>
      <c r="I462" s="876"/>
      <c r="J462" s="876"/>
      <c r="K462" s="876"/>
      <c r="L462" s="877"/>
      <c r="M462" s="750">
        <f t="shared" si="14"/>
        <v>66438</v>
      </c>
    </row>
    <row r="463" spans="1:13" ht="18.75" x14ac:dyDescent="0.25">
      <c r="A463" s="751" t="s">
        <v>560</v>
      </c>
      <c r="B463" s="751"/>
      <c r="C463" s="745" t="s">
        <v>1102</v>
      </c>
      <c r="D463" s="914">
        <f t="shared" si="13"/>
        <v>53152</v>
      </c>
      <c r="E463" s="463">
        <f>44292+8860</f>
        <v>53152</v>
      </c>
      <c r="F463" s="463"/>
      <c r="G463" s="875"/>
      <c r="H463" s="876"/>
      <c r="I463" s="876"/>
      <c r="J463" s="876"/>
      <c r="K463" s="876"/>
      <c r="L463" s="877"/>
      <c r="M463" s="750">
        <f t="shared" si="14"/>
        <v>106304</v>
      </c>
    </row>
    <row r="464" spans="1:13" ht="18.75" x14ac:dyDescent="0.25">
      <c r="A464" s="751" t="s">
        <v>561</v>
      </c>
      <c r="B464" s="751"/>
      <c r="C464" s="745" t="s">
        <v>1103</v>
      </c>
      <c r="D464" s="914">
        <f t="shared" si="13"/>
        <v>22146</v>
      </c>
      <c r="E464" s="463">
        <v>22146</v>
      </c>
      <c r="F464" s="463"/>
      <c r="G464" s="875"/>
      <c r="H464" s="876"/>
      <c r="I464" s="876"/>
      <c r="J464" s="876"/>
      <c r="K464" s="876"/>
      <c r="L464" s="877"/>
      <c r="M464" s="750">
        <f t="shared" si="14"/>
        <v>44292</v>
      </c>
    </row>
    <row r="465" spans="1:13" ht="18.75" x14ac:dyDescent="0.25">
      <c r="A465" s="751" t="s">
        <v>562</v>
      </c>
      <c r="B465" s="751"/>
      <c r="C465" s="745" t="s">
        <v>1104</v>
      </c>
      <c r="D465" s="914">
        <f t="shared" si="13"/>
        <v>77511</v>
      </c>
      <c r="E465" s="463">
        <v>66438</v>
      </c>
      <c r="F465" s="463">
        <v>11073</v>
      </c>
      <c r="G465" s="875"/>
      <c r="H465" s="876"/>
      <c r="I465" s="876"/>
      <c r="J465" s="876"/>
      <c r="K465" s="876"/>
      <c r="L465" s="877"/>
      <c r="M465" s="750">
        <f t="shared" si="14"/>
        <v>155022</v>
      </c>
    </row>
    <row r="466" spans="1:13" ht="18.75" x14ac:dyDescent="0.25">
      <c r="A466" s="751" t="s">
        <v>563</v>
      </c>
      <c r="B466" s="751"/>
      <c r="C466" s="745" t="s">
        <v>1105</v>
      </c>
      <c r="D466" s="914">
        <f t="shared" si="13"/>
        <v>22146</v>
      </c>
      <c r="E466" s="463">
        <v>22146</v>
      </c>
      <c r="F466" s="463"/>
      <c r="G466" s="875"/>
      <c r="H466" s="876"/>
      <c r="I466" s="876"/>
      <c r="J466" s="876"/>
      <c r="K466" s="876"/>
      <c r="L466" s="877"/>
      <c r="M466" s="750">
        <f t="shared" si="14"/>
        <v>44292</v>
      </c>
    </row>
    <row r="467" spans="1:13" ht="18.75" x14ac:dyDescent="0.25">
      <c r="A467" s="751" t="s">
        <v>564</v>
      </c>
      <c r="B467" s="751"/>
      <c r="C467" s="745" t="s">
        <v>1106</v>
      </c>
      <c r="D467" s="914">
        <f t="shared" si="13"/>
        <v>44296</v>
      </c>
      <c r="E467" s="463">
        <f>22146+13290</f>
        <v>35436</v>
      </c>
      <c r="F467" s="463">
        <v>8860</v>
      </c>
      <c r="G467" s="875"/>
      <c r="H467" s="876"/>
      <c r="I467" s="876"/>
      <c r="J467" s="876"/>
      <c r="K467" s="876"/>
      <c r="L467" s="877"/>
      <c r="M467" s="750">
        <f t="shared" si="14"/>
        <v>88592</v>
      </c>
    </row>
    <row r="468" spans="1:13" ht="18.75" x14ac:dyDescent="0.25">
      <c r="A468" s="751" t="s">
        <v>565</v>
      </c>
      <c r="B468" s="751"/>
      <c r="C468" s="745" t="s">
        <v>1107</v>
      </c>
      <c r="D468" s="914">
        <f t="shared" si="13"/>
        <v>55369</v>
      </c>
      <c r="E468" s="463">
        <f>22146+17720</f>
        <v>39866</v>
      </c>
      <c r="F468" s="463">
        <f>11073+4430</f>
        <v>15503</v>
      </c>
      <c r="G468" s="875"/>
      <c r="H468" s="876"/>
      <c r="I468" s="876"/>
      <c r="J468" s="876"/>
      <c r="K468" s="876"/>
      <c r="L468" s="877"/>
      <c r="M468" s="750">
        <f t="shared" si="14"/>
        <v>110738</v>
      </c>
    </row>
    <row r="469" spans="1:13" ht="18.75" x14ac:dyDescent="0.25">
      <c r="A469" s="751" t="s">
        <v>566</v>
      </c>
      <c r="B469" s="751"/>
      <c r="C469" s="745" t="s">
        <v>1108</v>
      </c>
      <c r="D469" s="914">
        <f t="shared" si="13"/>
        <v>26576</v>
      </c>
      <c r="E469" s="463">
        <f>11073+4430</f>
        <v>15503</v>
      </c>
      <c r="F469" s="463">
        <v>11073</v>
      </c>
      <c r="G469" s="875"/>
      <c r="H469" s="876"/>
      <c r="I469" s="876"/>
      <c r="J469" s="876"/>
      <c r="K469" s="876"/>
      <c r="L469" s="877"/>
      <c r="M469" s="750">
        <f t="shared" si="14"/>
        <v>53152</v>
      </c>
    </row>
    <row r="470" spans="1:13" ht="18.75" x14ac:dyDescent="0.25">
      <c r="A470" s="751" t="s">
        <v>567</v>
      </c>
      <c r="B470" s="751"/>
      <c r="C470" s="745" t="s">
        <v>1109</v>
      </c>
      <c r="D470" s="914">
        <f t="shared" si="13"/>
        <v>11073</v>
      </c>
      <c r="E470" s="463">
        <v>11073</v>
      </c>
      <c r="F470" s="463"/>
      <c r="G470" s="875"/>
      <c r="H470" s="876"/>
      <c r="I470" s="876"/>
      <c r="J470" s="876"/>
      <c r="K470" s="876"/>
      <c r="L470" s="877"/>
      <c r="M470" s="750">
        <f t="shared" si="14"/>
        <v>22146</v>
      </c>
    </row>
    <row r="471" spans="1:13" ht="18.75" x14ac:dyDescent="0.25">
      <c r="A471" s="751" t="s">
        <v>780</v>
      </c>
      <c r="B471" s="751"/>
      <c r="C471" s="745" t="s">
        <v>1110</v>
      </c>
      <c r="D471" s="914">
        <f t="shared" si="13"/>
        <v>15503</v>
      </c>
      <c r="E471" s="463">
        <v>11073</v>
      </c>
      <c r="F471" s="463">
        <v>4430</v>
      </c>
      <c r="G471" s="875"/>
      <c r="H471" s="876"/>
      <c r="I471" s="876"/>
      <c r="J471" s="876"/>
      <c r="K471" s="876"/>
      <c r="L471" s="877"/>
      <c r="M471" s="750">
        <f t="shared" si="14"/>
        <v>31006</v>
      </c>
    </row>
    <row r="472" spans="1:13" ht="18.75" x14ac:dyDescent="0.25">
      <c r="A472" s="751" t="s">
        <v>781</v>
      </c>
      <c r="B472" s="751"/>
      <c r="C472" s="745" t="s">
        <v>1111</v>
      </c>
      <c r="D472" s="914">
        <f t="shared" si="13"/>
        <v>11073</v>
      </c>
      <c r="E472" s="463">
        <v>11073</v>
      </c>
      <c r="F472" s="463"/>
      <c r="G472" s="875"/>
      <c r="H472" s="876"/>
      <c r="I472" s="876"/>
      <c r="J472" s="876"/>
      <c r="K472" s="876"/>
      <c r="L472" s="877"/>
      <c r="M472" s="750">
        <f t="shared" si="14"/>
        <v>22146</v>
      </c>
    </row>
    <row r="473" spans="1:13" ht="18.75" x14ac:dyDescent="0.25">
      <c r="A473" s="751" t="s">
        <v>782</v>
      </c>
      <c r="B473" s="751"/>
      <c r="C473" s="745" t="s">
        <v>1112</v>
      </c>
      <c r="D473" s="914">
        <f t="shared" si="13"/>
        <v>70868</v>
      </c>
      <c r="E473" s="463">
        <f>66438+4430</f>
        <v>70868</v>
      </c>
      <c r="F473" s="463"/>
      <c r="G473" s="875"/>
      <c r="H473" s="876"/>
      <c r="I473" s="876"/>
      <c r="J473" s="876"/>
      <c r="K473" s="876"/>
      <c r="L473" s="877"/>
      <c r="M473" s="750">
        <f t="shared" si="14"/>
        <v>141736</v>
      </c>
    </row>
    <row r="474" spans="1:13" ht="18.75" x14ac:dyDescent="0.25">
      <c r="A474" s="751" t="s">
        <v>783</v>
      </c>
      <c r="B474" s="751"/>
      <c r="C474" s="745" t="s">
        <v>1113</v>
      </c>
      <c r="D474" s="914">
        <f t="shared" si="13"/>
        <v>55365</v>
      </c>
      <c r="E474" s="463">
        <v>55365</v>
      </c>
      <c r="F474" s="463"/>
      <c r="G474" s="875"/>
      <c r="H474" s="876"/>
      <c r="I474" s="876"/>
      <c r="J474" s="876"/>
      <c r="K474" s="876"/>
      <c r="L474" s="877"/>
      <c r="M474" s="750">
        <f t="shared" si="14"/>
        <v>110730</v>
      </c>
    </row>
    <row r="475" spans="1:13" ht="18.75" x14ac:dyDescent="0.25">
      <c r="A475" s="751" t="s">
        <v>784</v>
      </c>
      <c r="B475" s="751"/>
      <c r="C475" s="745" t="s">
        <v>1114</v>
      </c>
      <c r="D475" s="914">
        <f t="shared" si="13"/>
        <v>68655</v>
      </c>
      <c r="E475" s="463">
        <v>44292</v>
      </c>
      <c r="F475" s="463">
        <f>11073+13290</f>
        <v>24363</v>
      </c>
      <c r="G475" s="875"/>
      <c r="H475" s="876"/>
      <c r="I475" s="876"/>
      <c r="J475" s="876"/>
      <c r="K475" s="876"/>
      <c r="L475" s="877"/>
      <c r="M475" s="750">
        <f t="shared" si="14"/>
        <v>137310</v>
      </c>
    </row>
    <row r="476" spans="1:13" ht="18.75" x14ac:dyDescent="0.25">
      <c r="A476" s="751" t="s">
        <v>785</v>
      </c>
      <c r="B476" s="751"/>
      <c r="C476" s="745" t="s">
        <v>1115</v>
      </c>
      <c r="D476" s="867">
        <f t="shared" si="13"/>
        <v>39870</v>
      </c>
      <c r="E476" s="863">
        <v>31010</v>
      </c>
      <c r="F476" s="863">
        <v>8860</v>
      </c>
      <c r="G476" s="875"/>
      <c r="H476" s="876"/>
      <c r="I476" s="876"/>
      <c r="J476" s="876"/>
      <c r="K476" s="876"/>
      <c r="L476" s="877"/>
      <c r="M476" s="750">
        <f t="shared" si="14"/>
        <v>79740</v>
      </c>
    </row>
    <row r="477" spans="1:13" ht="18.75" x14ac:dyDescent="0.25">
      <c r="A477" s="751" t="s">
        <v>910</v>
      </c>
      <c r="B477" s="751"/>
      <c r="C477" s="745" t="s">
        <v>1116</v>
      </c>
      <c r="D477" s="914">
        <f t="shared" si="13"/>
        <v>677698</v>
      </c>
      <c r="E477" s="463">
        <f>365409+146190</f>
        <v>511599</v>
      </c>
      <c r="F477" s="463">
        <f>143949+22150</f>
        <v>166099</v>
      </c>
      <c r="G477" s="875"/>
      <c r="H477" s="876"/>
      <c r="I477" s="876"/>
      <c r="J477" s="876"/>
      <c r="K477" s="876"/>
      <c r="L477" s="877"/>
      <c r="M477" s="750">
        <f t="shared" si="14"/>
        <v>1355396</v>
      </c>
    </row>
    <row r="478" spans="1:13" ht="18.75" x14ac:dyDescent="0.25">
      <c r="A478" s="751" t="s">
        <v>911</v>
      </c>
      <c r="B478" s="751"/>
      <c r="C478" s="745" t="s">
        <v>1117</v>
      </c>
      <c r="D478" s="914">
        <f t="shared" si="13"/>
        <v>90809</v>
      </c>
      <c r="E478" s="463"/>
      <c r="F478" s="463">
        <f>33219+57590</f>
        <v>90809</v>
      </c>
      <c r="G478" s="875"/>
      <c r="H478" s="876"/>
      <c r="I478" s="876"/>
      <c r="J478" s="876"/>
      <c r="K478" s="876"/>
      <c r="L478" s="877"/>
      <c r="M478" s="750">
        <f t="shared" si="14"/>
        <v>181618</v>
      </c>
    </row>
    <row r="479" spans="1:13" ht="18.75" x14ac:dyDescent="0.25">
      <c r="A479" s="751" t="s">
        <v>1118</v>
      </c>
      <c r="B479" s="751"/>
      <c r="C479" s="745" t="s">
        <v>1119</v>
      </c>
      <c r="D479" s="914">
        <f t="shared" si="13"/>
        <v>22146</v>
      </c>
      <c r="E479" s="463">
        <v>22146</v>
      </c>
      <c r="F479" s="463"/>
      <c r="G479" s="875"/>
      <c r="H479" s="876"/>
      <c r="I479" s="876"/>
      <c r="J479" s="876"/>
      <c r="K479" s="876"/>
      <c r="L479" s="877"/>
      <c r="M479" s="750">
        <f t="shared" si="14"/>
        <v>44292</v>
      </c>
    </row>
    <row r="480" spans="1:13" ht="18.75" hidden="1" x14ac:dyDescent="0.25">
      <c r="A480" s="751" t="s">
        <v>1120</v>
      </c>
      <c r="B480" s="751"/>
      <c r="C480" s="745" t="s">
        <v>1121</v>
      </c>
      <c r="D480" s="867">
        <f t="shared" si="13"/>
        <v>0</v>
      </c>
      <c r="E480" s="863"/>
      <c r="F480" s="863"/>
      <c r="G480" s="875"/>
      <c r="H480" s="876"/>
      <c r="I480" s="876"/>
      <c r="J480" s="876"/>
      <c r="K480" s="876"/>
      <c r="L480" s="877"/>
      <c r="M480" s="750">
        <f t="shared" si="14"/>
        <v>0</v>
      </c>
    </row>
    <row r="481" spans="1:16" ht="18.75" x14ac:dyDescent="0.25">
      <c r="A481" s="751" t="s">
        <v>1122</v>
      </c>
      <c r="B481" s="751"/>
      <c r="C481" s="745" t="s">
        <v>1123</v>
      </c>
      <c r="D481" s="867">
        <f t="shared" si="13"/>
        <v>8860</v>
      </c>
      <c r="E481" s="863">
        <v>8860</v>
      </c>
      <c r="F481" s="863"/>
      <c r="G481" s="875"/>
      <c r="H481" s="876"/>
      <c r="I481" s="876"/>
      <c r="J481" s="876"/>
      <c r="K481" s="876"/>
      <c r="L481" s="877"/>
      <c r="M481" s="750">
        <f t="shared" si="14"/>
        <v>17720</v>
      </c>
    </row>
    <row r="482" spans="1:16" ht="18.75" x14ac:dyDescent="0.25">
      <c r="A482" s="751" t="s">
        <v>1124</v>
      </c>
      <c r="B482" s="751"/>
      <c r="C482" s="745" t="s">
        <v>1125</v>
      </c>
      <c r="D482" s="914">
        <f t="shared" si="13"/>
        <v>37649</v>
      </c>
      <c r="E482" s="463">
        <f>22146+4430</f>
        <v>26576</v>
      </c>
      <c r="F482" s="463">
        <v>11073</v>
      </c>
      <c r="G482" s="875"/>
      <c r="H482" s="876"/>
      <c r="I482" s="876"/>
      <c r="J482" s="876"/>
      <c r="K482" s="876"/>
      <c r="L482" s="877"/>
      <c r="M482" s="750">
        <f t="shared" si="14"/>
        <v>75298</v>
      </c>
    </row>
    <row r="483" spans="1:16" ht="18.75" x14ac:dyDescent="0.25">
      <c r="A483" s="751" t="s">
        <v>1126</v>
      </c>
      <c r="B483" s="751"/>
      <c r="C483" s="745" t="s">
        <v>1127</v>
      </c>
      <c r="D483" s="914">
        <f t="shared" si="13"/>
        <v>225894</v>
      </c>
      <c r="E483" s="463">
        <f>166095+26580</f>
        <v>192675</v>
      </c>
      <c r="F483" s="463">
        <v>33219</v>
      </c>
      <c r="G483" s="875"/>
      <c r="H483" s="876"/>
      <c r="I483" s="876"/>
      <c r="J483" s="876"/>
      <c r="K483" s="876"/>
      <c r="L483" s="877"/>
      <c r="M483" s="750">
        <f t="shared" si="14"/>
        <v>451788</v>
      </c>
    </row>
    <row r="484" spans="1:16" ht="18.75" x14ac:dyDescent="0.25">
      <c r="A484" s="751" t="s">
        <v>1128</v>
      </c>
      <c r="B484" s="751"/>
      <c r="C484" s="745" t="s">
        <v>1129</v>
      </c>
      <c r="D484" s="914">
        <f t="shared" si="13"/>
        <v>50939</v>
      </c>
      <c r="E484" s="463">
        <f>33219+8860</f>
        <v>42079</v>
      </c>
      <c r="F484" s="463">
        <v>8860</v>
      </c>
      <c r="G484" s="875"/>
      <c r="H484" s="876"/>
      <c r="I484" s="876"/>
      <c r="J484" s="876"/>
      <c r="K484" s="876"/>
      <c r="L484" s="877"/>
      <c r="M484" s="750">
        <f t="shared" si="14"/>
        <v>101878</v>
      </c>
    </row>
    <row r="485" spans="1:16" ht="18.75" x14ac:dyDescent="0.25">
      <c r="A485" s="751" t="s">
        <v>1130</v>
      </c>
      <c r="B485" s="751"/>
      <c r="C485" s="745" t="s">
        <v>1131</v>
      </c>
      <c r="D485" s="867">
        <f t="shared" si="13"/>
        <v>4430</v>
      </c>
      <c r="E485" s="863">
        <v>4430</v>
      </c>
      <c r="F485" s="863"/>
      <c r="G485" s="875"/>
      <c r="H485" s="876"/>
      <c r="I485" s="876"/>
      <c r="J485" s="876"/>
      <c r="K485" s="876"/>
      <c r="L485" s="877"/>
      <c r="M485" s="750">
        <f t="shared" si="14"/>
        <v>8860</v>
      </c>
    </row>
    <row r="486" spans="1:16" ht="18.75" x14ac:dyDescent="0.25">
      <c r="A486" s="751" t="s">
        <v>1132</v>
      </c>
      <c r="B486" s="751"/>
      <c r="C486" s="745" t="s">
        <v>1133</v>
      </c>
      <c r="D486" s="914">
        <f t="shared" si="13"/>
        <v>22146</v>
      </c>
      <c r="E486" s="463">
        <v>11073</v>
      </c>
      <c r="F486" s="463">
        <v>11073</v>
      </c>
      <c r="G486" s="875"/>
      <c r="H486" s="876"/>
      <c r="I486" s="876"/>
      <c r="J486" s="876"/>
      <c r="K486" s="876"/>
      <c r="L486" s="877"/>
      <c r="M486" s="750">
        <f t="shared" si="14"/>
        <v>44292</v>
      </c>
    </row>
    <row r="487" spans="1:16" ht="18.75" x14ac:dyDescent="0.25">
      <c r="A487" s="751" t="s">
        <v>1134</v>
      </c>
      <c r="B487" s="751"/>
      <c r="C487" s="745" t="s">
        <v>1135</v>
      </c>
      <c r="D487" s="914">
        <f t="shared" si="13"/>
        <v>22146</v>
      </c>
      <c r="E487" s="463">
        <v>22146</v>
      </c>
      <c r="F487" s="463"/>
      <c r="G487" s="875"/>
      <c r="H487" s="876"/>
      <c r="I487" s="876"/>
      <c r="J487" s="876"/>
      <c r="K487" s="876"/>
      <c r="L487" s="877"/>
      <c r="M487" s="750">
        <f t="shared" si="14"/>
        <v>44292</v>
      </c>
    </row>
    <row r="488" spans="1:16" ht="18.75" x14ac:dyDescent="0.25">
      <c r="A488" s="751" t="s">
        <v>1136</v>
      </c>
      <c r="B488" s="751"/>
      <c r="C488" s="745" t="s">
        <v>1137</v>
      </c>
      <c r="D488" s="914">
        <f t="shared" si="13"/>
        <v>307855</v>
      </c>
      <c r="E488" s="463">
        <f>99657+119610</f>
        <v>219267</v>
      </c>
      <c r="F488" s="463">
        <f>66438+22150</f>
        <v>88588</v>
      </c>
      <c r="G488" s="875"/>
      <c r="H488" s="876"/>
      <c r="I488" s="876"/>
      <c r="J488" s="876"/>
      <c r="K488" s="876"/>
      <c r="L488" s="877"/>
      <c r="M488" s="750">
        <f t="shared" si="14"/>
        <v>615710</v>
      </c>
    </row>
    <row r="489" spans="1:16" ht="18.75" x14ac:dyDescent="0.25">
      <c r="A489" s="751" t="s">
        <v>1138</v>
      </c>
      <c r="B489" s="751"/>
      <c r="C489" s="745" t="s">
        <v>1139</v>
      </c>
      <c r="D489" s="914">
        <f t="shared" si="13"/>
        <v>150608</v>
      </c>
      <c r="E489" s="463">
        <f>33219+35440</f>
        <v>68659</v>
      </c>
      <c r="F489" s="463">
        <f>33219+48730</f>
        <v>81949</v>
      </c>
      <c r="G489" s="875"/>
      <c r="H489" s="876"/>
      <c r="I489" s="876"/>
      <c r="J489" s="876"/>
      <c r="K489" s="876"/>
      <c r="L489" s="877"/>
      <c r="M489" s="750">
        <f t="shared" si="14"/>
        <v>301216</v>
      </c>
    </row>
    <row r="490" spans="1:16" ht="21.75" customHeight="1" x14ac:dyDescent="0.25">
      <c r="A490" s="751" t="s">
        <v>1140</v>
      </c>
      <c r="B490" s="751"/>
      <c r="C490" s="745" t="s">
        <v>1141</v>
      </c>
      <c r="D490" s="914">
        <f t="shared" si="13"/>
        <v>101882</v>
      </c>
      <c r="E490" s="463">
        <f>22146+48730</f>
        <v>70876</v>
      </c>
      <c r="F490" s="463">
        <f>22146+8860</f>
        <v>31006</v>
      </c>
      <c r="G490" s="875"/>
      <c r="H490" s="876"/>
      <c r="I490" s="876"/>
      <c r="J490" s="876"/>
      <c r="K490" s="876"/>
      <c r="L490" s="877"/>
      <c r="M490" s="750">
        <f t="shared" si="14"/>
        <v>203764</v>
      </c>
    </row>
    <row r="491" spans="1:16" ht="18.75" x14ac:dyDescent="0.25">
      <c r="A491" s="751" t="s">
        <v>1142</v>
      </c>
      <c r="B491" s="751"/>
      <c r="C491" s="745" t="s">
        <v>1143</v>
      </c>
      <c r="D491" s="914">
        <f t="shared" si="13"/>
        <v>39866</v>
      </c>
      <c r="E491" s="463">
        <f>11073+8860</f>
        <v>19933</v>
      </c>
      <c r="F491" s="463">
        <f>11073+8860</f>
        <v>19933</v>
      </c>
      <c r="G491" s="875"/>
      <c r="H491" s="876"/>
      <c r="I491" s="876"/>
      <c r="J491" s="876"/>
      <c r="K491" s="876"/>
      <c r="L491" s="877"/>
      <c r="M491" s="750">
        <f t="shared" si="14"/>
        <v>79732</v>
      </c>
    </row>
    <row r="492" spans="1:16" ht="18.75" x14ac:dyDescent="0.25">
      <c r="A492" s="751" t="s">
        <v>1144</v>
      </c>
      <c r="B492" s="751"/>
      <c r="C492" s="745" t="s">
        <v>1145</v>
      </c>
      <c r="D492" s="914">
        <f t="shared" si="13"/>
        <v>44292</v>
      </c>
      <c r="E492" s="463">
        <v>44292</v>
      </c>
      <c r="F492" s="463"/>
      <c r="G492" s="875"/>
      <c r="H492" s="876"/>
      <c r="I492" s="876"/>
      <c r="J492" s="876"/>
      <c r="K492" s="876"/>
      <c r="L492" s="877"/>
      <c r="M492" s="750">
        <f t="shared" si="14"/>
        <v>88584</v>
      </c>
    </row>
    <row r="493" spans="1:16" ht="18.75" x14ac:dyDescent="0.25">
      <c r="A493" s="751" t="s">
        <v>1146</v>
      </c>
      <c r="B493" s="751"/>
      <c r="C493" s="745" t="s">
        <v>1147</v>
      </c>
      <c r="D493" s="914">
        <f t="shared" si="13"/>
        <v>70872</v>
      </c>
      <c r="E493" s="463">
        <v>33219</v>
      </c>
      <c r="F493" s="463">
        <f>11073+26580</f>
        <v>37653</v>
      </c>
      <c r="G493" s="875"/>
      <c r="H493" s="876"/>
      <c r="I493" s="876"/>
      <c r="J493" s="876"/>
      <c r="K493" s="876"/>
      <c r="L493" s="877"/>
      <c r="M493" s="750">
        <f t="shared" si="14"/>
        <v>141744</v>
      </c>
    </row>
    <row r="494" spans="1:16" ht="18.75" x14ac:dyDescent="0.25">
      <c r="A494" s="751" t="s">
        <v>1148</v>
      </c>
      <c r="B494" s="751"/>
      <c r="C494" s="745" t="s">
        <v>1149</v>
      </c>
      <c r="D494" s="914">
        <f>SUM(E494:H494)</f>
        <v>35436</v>
      </c>
      <c r="E494" s="463">
        <f>22146+13290</f>
        <v>35436</v>
      </c>
      <c r="F494" s="463"/>
      <c r="G494" s="875"/>
      <c r="H494" s="876"/>
      <c r="I494" s="876"/>
      <c r="J494" s="876"/>
      <c r="K494" s="876"/>
      <c r="L494" s="877"/>
      <c r="M494" s="750">
        <f t="shared" si="14"/>
        <v>70872</v>
      </c>
    </row>
    <row r="495" spans="1:16" ht="18.75" hidden="1" x14ac:dyDescent="0.25">
      <c r="A495" s="788"/>
      <c r="B495" s="788"/>
      <c r="C495" s="865" t="s">
        <v>168</v>
      </c>
      <c r="D495" s="867">
        <f>SUM(E495:H495)</f>
        <v>0</v>
      </c>
      <c r="E495" s="1261"/>
      <c r="F495" s="1261"/>
      <c r="G495" s="1222"/>
      <c r="H495" s="1223"/>
      <c r="I495" s="1223"/>
      <c r="J495" s="1223"/>
      <c r="K495" s="1223"/>
      <c r="L495" s="1224"/>
      <c r="M495" s="750">
        <f t="shared" si="14"/>
        <v>0</v>
      </c>
      <c r="O495" s="857" t="b">
        <f>D769=дод3!E151</f>
        <v>1</v>
      </c>
      <c r="P495" s="851"/>
    </row>
    <row r="496" spans="1:16" ht="18.75" x14ac:dyDescent="0.25">
      <c r="A496" s="1741" t="s">
        <v>1001</v>
      </c>
      <c r="B496" s="1738">
        <v>9430</v>
      </c>
      <c r="C496" s="1753" t="s">
        <v>1003</v>
      </c>
      <c r="D496" s="1092">
        <f>SUM(D499:D564)</f>
        <v>42082100</v>
      </c>
      <c r="E496" s="1262" t="s">
        <v>1153</v>
      </c>
      <c r="F496" s="1263"/>
      <c r="G496" s="1263"/>
      <c r="H496" s="1263"/>
      <c r="I496" s="1200"/>
      <c r="J496" s="1200"/>
      <c r="K496" s="1200"/>
      <c r="L496" s="1201"/>
      <c r="M496" s="750">
        <f t="shared" si="14"/>
        <v>42082100</v>
      </c>
    </row>
    <row r="497" spans="1:13" ht="18.75" x14ac:dyDescent="0.25">
      <c r="A497" s="1742"/>
      <c r="B497" s="1739"/>
      <c r="C497" s="1754"/>
      <c r="D497" s="1260"/>
      <c r="E497" s="1258"/>
      <c r="F497" s="1259"/>
      <c r="G497" s="1259"/>
      <c r="H497" s="1259"/>
      <c r="I497" s="1197"/>
      <c r="J497" s="1197"/>
      <c r="K497" s="1197"/>
      <c r="L497" s="1198"/>
      <c r="M497" s="750">
        <v>1</v>
      </c>
    </row>
    <row r="498" spans="1:13" ht="96.6" customHeight="1" x14ac:dyDescent="0.25">
      <c r="A498" s="1743"/>
      <c r="B498" s="1740"/>
      <c r="C498" s="1755"/>
      <c r="D498" s="1094"/>
      <c r="E498" s="1303">
        <f>SUM(E499:E564)</f>
        <v>42082100</v>
      </c>
      <c r="F498" s="1259"/>
      <c r="G498" s="1259"/>
      <c r="H498" s="1259"/>
      <c r="I498" s="1197"/>
      <c r="J498" s="1197"/>
      <c r="K498" s="1197"/>
      <c r="L498" s="1198"/>
      <c r="M498" s="750">
        <f t="shared" si="14"/>
        <v>42082100</v>
      </c>
    </row>
    <row r="499" spans="1:13" hidden="1" x14ac:dyDescent="0.25">
      <c r="A499" s="751" t="s">
        <v>526</v>
      </c>
      <c r="B499" s="751"/>
      <c r="C499" s="745" t="s">
        <v>1060</v>
      </c>
      <c r="D499" s="867">
        <f>E499</f>
        <v>0</v>
      </c>
      <c r="E499" s="1264"/>
      <c r="F499" s="1265"/>
      <c r="G499" s="1265"/>
      <c r="H499" s="1265"/>
      <c r="I499" s="1266"/>
      <c r="J499" s="1266"/>
      <c r="K499" s="1266"/>
      <c r="L499" s="1267"/>
      <c r="M499" s="750">
        <f t="shared" si="14"/>
        <v>0</v>
      </c>
    </row>
    <row r="500" spans="1:13" hidden="1" x14ac:dyDescent="0.25">
      <c r="A500" s="751" t="s">
        <v>527</v>
      </c>
      <c r="B500" s="751"/>
      <c r="C500" s="745" t="s">
        <v>1069</v>
      </c>
      <c r="D500" s="762">
        <f t="shared" ref="D500:D563" si="15">E500</f>
        <v>0</v>
      </c>
      <c r="E500" s="1264"/>
      <c r="F500" s="1265"/>
      <c r="G500" s="1265"/>
      <c r="H500" s="1265"/>
      <c r="I500" s="1266"/>
      <c r="J500" s="1266"/>
      <c r="K500" s="1266"/>
      <c r="L500" s="1267"/>
      <c r="M500" s="750">
        <f t="shared" si="14"/>
        <v>0</v>
      </c>
    </row>
    <row r="501" spans="1:13" hidden="1" x14ac:dyDescent="0.25">
      <c r="A501" s="751" t="s">
        <v>528</v>
      </c>
      <c r="B501" s="751"/>
      <c r="C501" s="745" t="s">
        <v>1070</v>
      </c>
      <c r="D501" s="762">
        <f t="shared" si="15"/>
        <v>0</v>
      </c>
      <c r="E501" s="1264"/>
      <c r="F501" s="1265"/>
      <c r="G501" s="1265"/>
      <c r="H501" s="1265"/>
      <c r="I501" s="1266"/>
      <c r="J501" s="1266"/>
      <c r="K501" s="1266"/>
      <c r="L501" s="1267"/>
      <c r="M501" s="750">
        <f t="shared" si="14"/>
        <v>0</v>
      </c>
    </row>
    <row r="502" spans="1:13" hidden="1" x14ac:dyDescent="0.25">
      <c r="A502" s="751" t="s">
        <v>529</v>
      </c>
      <c r="B502" s="751"/>
      <c r="C502" s="745" t="s">
        <v>1071</v>
      </c>
      <c r="D502" s="762">
        <f t="shared" si="15"/>
        <v>0</v>
      </c>
      <c r="E502" s="1264"/>
      <c r="F502" s="1265"/>
      <c r="G502" s="1265"/>
      <c r="H502" s="1265"/>
      <c r="I502" s="1266"/>
      <c r="J502" s="1266"/>
      <c r="K502" s="1266"/>
      <c r="L502" s="1267"/>
      <c r="M502" s="750">
        <f t="shared" si="14"/>
        <v>0</v>
      </c>
    </row>
    <row r="503" spans="1:13" x14ac:dyDescent="0.25">
      <c r="A503" s="751" t="s">
        <v>530</v>
      </c>
      <c r="B503" s="751"/>
      <c r="C503" s="745" t="s">
        <v>1072</v>
      </c>
      <c r="D503" s="762">
        <f t="shared" si="15"/>
        <v>201500</v>
      </c>
      <c r="E503" s="1264">
        <f>131000+70500</f>
        <v>201500</v>
      </c>
      <c r="F503" s="1265"/>
      <c r="G503" s="1265"/>
      <c r="H503" s="1265"/>
      <c r="I503" s="1266"/>
      <c r="J503" s="1266"/>
      <c r="K503" s="1266"/>
      <c r="L503" s="1267"/>
      <c r="M503" s="750">
        <f t="shared" si="14"/>
        <v>403000</v>
      </c>
    </row>
    <row r="504" spans="1:13" hidden="1" x14ac:dyDescent="0.25">
      <c r="A504" s="751" t="s">
        <v>531</v>
      </c>
      <c r="B504" s="751"/>
      <c r="C504" s="745" t="s">
        <v>1073</v>
      </c>
      <c r="D504" s="762">
        <f t="shared" si="15"/>
        <v>0</v>
      </c>
      <c r="E504" s="1264"/>
      <c r="F504" s="1265"/>
      <c r="G504" s="1265"/>
      <c r="H504" s="1265"/>
      <c r="I504" s="1266"/>
      <c r="J504" s="1266"/>
      <c r="K504" s="1266"/>
      <c r="L504" s="1267"/>
      <c r="M504" s="750">
        <f t="shared" si="14"/>
        <v>0</v>
      </c>
    </row>
    <row r="505" spans="1:13" hidden="1" x14ac:dyDescent="0.25">
      <c r="A505" s="751" t="s">
        <v>532</v>
      </c>
      <c r="B505" s="751"/>
      <c r="C505" s="745" t="s">
        <v>1074</v>
      </c>
      <c r="D505" s="762">
        <f t="shared" si="15"/>
        <v>0</v>
      </c>
      <c r="E505" s="1264"/>
      <c r="F505" s="1265"/>
      <c r="G505" s="1265"/>
      <c r="H505" s="1265"/>
      <c r="I505" s="1266"/>
      <c r="J505" s="1266"/>
      <c r="K505" s="1266"/>
      <c r="L505" s="1267"/>
      <c r="M505" s="750">
        <f t="shared" si="14"/>
        <v>0</v>
      </c>
    </row>
    <row r="506" spans="1:13" hidden="1" x14ac:dyDescent="0.25">
      <c r="A506" s="751" t="s">
        <v>533</v>
      </c>
      <c r="B506" s="751"/>
      <c r="C506" s="745" t="s">
        <v>1075</v>
      </c>
      <c r="D506" s="762">
        <f t="shared" si="15"/>
        <v>0</v>
      </c>
      <c r="E506" s="1264"/>
      <c r="F506" s="1265"/>
      <c r="G506" s="1265"/>
      <c r="H506" s="1265"/>
      <c r="I506" s="1266"/>
      <c r="J506" s="1266"/>
      <c r="K506" s="1266"/>
      <c r="L506" s="1267"/>
      <c r="M506" s="750">
        <f t="shared" si="14"/>
        <v>0</v>
      </c>
    </row>
    <row r="507" spans="1:13" hidden="1" x14ac:dyDescent="0.25">
      <c r="A507" s="751" t="s">
        <v>534</v>
      </c>
      <c r="B507" s="751"/>
      <c r="C507" s="745" t="s">
        <v>1076</v>
      </c>
      <c r="D507" s="762">
        <f t="shared" si="15"/>
        <v>0</v>
      </c>
      <c r="E507" s="1264"/>
      <c r="F507" s="1265"/>
      <c r="G507" s="1265"/>
      <c r="H507" s="1265"/>
      <c r="I507" s="1266"/>
      <c r="J507" s="1266"/>
      <c r="K507" s="1266"/>
      <c r="L507" s="1267"/>
      <c r="M507" s="750">
        <f t="shared" si="14"/>
        <v>0</v>
      </c>
    </row>
    <row r="508" spans="1:13" hidden="1" x14ac:dyDescent="0.25">
      <c r="A508" s="751" t="s">
        <v>535</v>
      </c>
      <c r="B508" s="751"/>
      <c r="C508" s="745" t="s">
        <v>1077</v>
      </c>
      <c r="D508" s="762">
        <f t="shared" si="15"/>
        <v>0</v>
      </c>
      <c r="E508" s="1264"/>
      <c r="F508" s="1265"/>
      <c r="G508" s="1265"/>
      <c r="H508" s="1265"/>
      <c r="I508" s="1266"/>
      <c r="J508" s="1266"/>
      <c r="K508" s="1266"/>
      <c r="L508" s="1267"/>
      <c r="M508" s="750">
        <f t="shared" si="14"/>
        <v>0</v>
      </c>
    </row>
    <row r="509" spans="1:13" x14ac:dyDescent="0.25">
      <c r="A509" s="751" t="s">
        <v>536</v>
      </c>
      <c r="B509" s="751"/>
      <c r="C509" s="745" t="s">
        <v>1078</v>
      </c>
      <c r="D509" s="762">
        <f t="shared" si="15"/>
        <v>1215600</v>
      </c>
      <c r="E509" s="1264">
        <f>794800+420800</f>
        <v>1215600</v>
      </c>
      <c r="F509" s="1265"/>
      <c r="G509" s="1265"/>
      <c r="H509" s="1265"/>
      <c r="I509" s="1266"/>
      <c r="J509" s="1266"/>
      <c r="K509" s="1266"/>
      <c r="L509" s="1267"/>
      <c r="M509" s="750">
        <f t="shared" si="14"/>
        <v>2431200</v>
      </c>
    </row>
    <row r="510" spans="1:13" x14ac:dyDescent="0.25">
      <c r="A510" s="751" t="s">
        <v>537</v>
      </c>
      <c r="B510" s="751"/>
      <c r="C510" s="745" t="s">
        <v>1079</v>
      </c>
      <c r="D510" s="762">
        <f t="shared" si="15"/>
        <v>1501300</v>
      </c>
      <c r="E510" s="1264">
        <f>1000000+501300</f>
        <v>1501300</v>
      </c>
      <c r="F510" s="1265"/>
      <c r="G510" s="1265"/>
      <c r="H510" s="1265"/>
      <c r="I510" s="1266"/>
      <c r="J510" s="1266"/>
      <c r="K510" s="1266"/>
      <c r="L510" s="1267"/>
      <c r="M510" s="750">
        <f t="shared" si="14"/>
        <v>3002600</v>
      </c>
    </row>
    <row r="511" spans="1:13" x14ac:dyDescent="0.25">
      <c r="A511" s="751" t="s">
        <v>538</v>
      </c>
      <c r="B511" s="751"/>
      <c r="C511" s="745" t="s">
        <v>1080</v>
      </c>
      <c r="D511" s="762">
        <f t="shared" si="15"/>
        <v>857000</v>
      </c>
      <c r="E511" s="1264">
        <f>561000+296000</f>
        <v>857000</v>
      </c>
      <c r="F511" s="1265"/>
      <c r="G511" s="1265"/>
      <c r="H511" s="1265"/>
      <c r="I511" s="1266"/>
      <c r="J511" s="1266"/>
      <c r="K511" s="1266"/>
      <c r="L511" s="1267"/>
      <c r="M511" s="750">
        <f t="shared" si="14"/>
        <v>1714000</v>
      </c>
    </row>
    <row r="512" spans="1:13" x14ac:dyDescent="0.25">
      <c r="A512" s="751" t="s">
        <v>539</v>
      </c>
      <c r="B512" s="751"/>
      <c r="C512" s="745" t="s">
        <v>1081</v>
      </c>
      <c r="D512" s="762">
        <f t="shared" si="15"/>
        <v>482800</v>
      </c>
      <c r="E512" s="1264">
        <f>327700+155100</f>
        <v>482800</v>
      </c>
      <c r="F512" s="1265"/>
      <c r="G512" s="1265"/>
      <c r="H512" s="1265"/>
      <c r="I512" s="1266"/>
      <c r="J512" s="1266"/>
      <c r="K512" s="1266"/>
      <c r="L512" s="1267"/>
      <c r="M512" s="750">
        <f t="shared" si="14"/>
        <v>965600</v>
      </c>
    </row>
    <row r="513" spans="1:13" hidden="1" x14ac:dyDescent="0.25">
      <c r="A513" s="751" t="s">
        <v>540</v>
      </c>
      <c r="B513" s="751"/>
      <c r="C513" s="745" t="s">
        <v>1082</v>
      </c>
      <c r="D513" s="762">
        <f t="shared" si="15"/>
        <v>0</v>
      </c>
      <c r="E513" s="1264"/>
      <c r="F513" s="1265"/>
      <c r="G513" s="1265"/>
      <c r="H513" s="1265"/>
      <c r="I513" s="1266"/>
      <c r="J513" s="1266"/>
      <c r="K513" s="1266"/>
      <c r="L513" s="1267"/>
      <c r="M513" s="750">
        <f t="shared" si="14"/>
        <v>0</v>
      </c>
    </row>
    <row r="514" spans="1:13" hidden="1" x14ac:dyDescent="0.25">
      <c r="A514" s="751" t="s">
        <v>541</v>
      </c>
      <c r="B514" s="751"/>
      <c r="C514" s="745" t="s">
        <v>1083</v>
      </c>
      <c r="D514" s="762">
        <f t="shared" si="15"/>
        <v>0</v>
      </c>
      <c r="E514" s="1264"/>
      <c r="F514" s="1265"/>
      <c r="G514" s="1265"/>
      <c r="H514" s="1265"/>
      <c r="I514" s="1266"/>
      <c r="J514" s="1266"/>
      <c r="K514" s="1266"/>
      <c r="L514" s="1267"/>
      <c r="M514" s="750">
        <f t="shared" si="14"/>
        <v>0</v>
      </c>
    </row>
    <row r="515" spans="1:13" x14ac:dyDescent="0.25">
      <c r="A515" s="751" t="s">
        <v>542</v>
      </c>
      <c r="B515" s="751"/>
      <c r="C515" s="745" t="s">
        <v>1084</v>
      </c>
      <c r="D515" s="762">
        <f t="shared" si="15"/>
        <v>635400</v>
      </c>
      <c r="E515" s="1264">
        <f>422000+213400</f>
        <v>635400</v>
      </c>
      <c r="F515" s="1265"/>
      <c r="G515" s="1265"/>
      <c r="H515" s="1265"/>
      <c r="I515" s="1266"/>
      <c r="J515" s="1266"/>
      <c r="K515" s="1266"/>
      <c r="L515" s="1267"/>
      <c r="M515" s="750">
        <f t="shared" si="14"/>
        <v>1270800</v>
      </c>
    </row>
    <row r="516" spans="1:13" hidden="1" x14ac:dyDescent="0.25">
      <c r="A516" s="751" t="s">
        <v>543</v>
      </c>
      <c r="B516" s="751"/>
      <c r="C516" s="745" t="s">
        <v>1085</v>
      </c>
      <c r="D516" s="762">
        <f t="shared" si="15"/>
        <v>0</v>
      </c>
      <c r="E516" s="1264"/>
      <c r="F516" s="1265"/>
      <c r="G516" s="1265"/>
      <c r="H516" s="1265"/>
      <c r="I516" s="1266"/>
      <c r="J516" s="1266"/>
      <c r="K516" s="1266"/>
      <c r="L516" s="1267"/>
      <c r="M516" s="750">
        <f t="shared" si="14"/>
        <v>0</v>
      </c>
    </row>
    <row r="517" spans="1:13" x14ac:dyDescent="0.25">
      <c r="A517" s="751" t="s">
        <v>544</v>
      </c>
      <c r="B517" s="751"/>
      <c r="C517" s="745" t="s">
        <v>1086</v>
      </c>
      <c r="D517" s="762">
        <f t="shared" si="15"/>
        <v>985900</v>
      </c>
      <c r="E517" s="1264">
        <f>663700+322200</f>
        <v>985900</v>
      </c>
      <c r="F517" s="1265"/>
      <c r="G517" s="1265"/>
      <c r="H517" s="1265"/>
      <c r="I517" s="1266"/>
      <c r="J517" s="1266"/>
      <c r="K517" s="1266"/>
      <c r="L517" s="1267"/>
      <c r="M517" s="750">
        <f t="shared" si="14"/>
        <v>1971800</v>
      </c>
    </row>
    <row r="518" spans="1:13" x14ac:dyDescent="0.25">
      <c r="A518" s="751" t="s">
        <v>545</v>
      </c>
      <c r="B518" s="751"/>
      <c r="C518" s="745" t="s">
        <v>1087</v>
      </c>
      <c r="D518" s="762">
        <f t="shared" si="15"/>
        <v>949000</v>
      </c>
      <c r="E518" s="1264">
        <f>630900+318100</f>
        <v>949000</v>
      </c>
      <c r="F518" s="1265"/>
      <c r="G518" s="1265"/>
      <c r="H518" s="1265"/>
      <c r="I518" s="1266"/>
      <c r="J518" s="1266"/>
      <c r="K518" s="1266"/>
      <c r="L518" s="1267"/>
      <c r="M518" s="750">
        <f t="shared" si="14"/>
        <v>1898000</v>
      </c>
    </row>
    <row r="519" spans="1:13" hidden="1" x14ac:dyDescent="0.25">
      <c r="A519" s="751" t="s">
        <v>546</v>
      </c>
      <c r="B519" s="751"/>
      <c r="C519" s="745" t="s">
        <v>1088</v>
      </c>
      <c r="D519" s="762">
        <f t="shared" si="15"/>
        <v>0</v>
      </c>
      <c r="E519" s="1264"/>
      <c r="F519" s="1265"/>
      <c r="G519" s="1265"/>
      <c r="H519" s="1265"/>
      <c r="I519" s="1266"/>
      <c r="J519" s="1266"/>
      <c r="K519" s="1266"/>
      <c r="L519" s="1267"/>
      <c r="M519" s="750">
        <f t="shared" ref="M519:M582" si="16">SUM(D519:H519)</f>
        <v>0</v>
      </c>
    </row>
    <row r="520" spans="1:13" hidden="1" x14ac:dyDescent="0.25">
      <c r="A520" s="751" t="s">
        <v>547</v>
      </c>
      <c r="B520" s="751"/>
      <c r="C520" s="745" t="s">
        <v>1089</v>
      </c>
      <c r="D520" s="762">
        <f t="shared" si="15"/>
        <v>0</v>
      </c>
      <c r="E520" s="1264"/>
      <c r="F520" s="1265"/>
      <c r="G520" s="1265"/>
      <c r="H520" s="1265"/>
      <c r="I520" s="1266"/>
      <c r="J520" s="1266"/>
      <c r="K520" s="1266"/>
      <c r="L520" s="1267"/>
      <c r="M520" s="750">
        <f t="shared" si="16"/>
        <v>0</v>
      </c>
    </row>
    <row r="521" spans="1:13" hidden="1" x14ac:dyDescent="0.25">
      <c r="A521" s="751" t="s">
        <v>548</v>
      </c>
      <c r="B521" s="751"/>
      <c r="C521" s="745" t="s">
        <v>1090</v>
      </c>
      <c r="D521" s="762">
        <f t="shared" si="15"/>
        <v>0</v>
      </c>
      <c r="E521" s="1264"/>
      <c r="F521" s="1265"/>
      <c r="G521" s="1265"/>
      <c r="H521" s="1265"/>
      <c r="I521" s="1266"/>
      <c r="J521" s="1266"/>
      <c r="K521" s="1266"/>
      <c r="L521" s="1267"/>
      <c r="M521" s="750">
        <f t="shared" si="16"/>
        <v>0</v>
      </c>
    </row>
    <row r="522" spans="1:13" hidden="1" x14ac:dyDescent="0.25">
      <c r="A522" s="751" t="s">
        <v>549</v>
      </c>
      <c r="B522" s="751"/>
      <c r="C522" s="745" t="s">
        <v>1091</v>
      </c>
      <c r="D522" s="762">
        <f t="shared" si="15"/>
        <v>0</v>
      </c>
      <c r="E522" s="1264"/>
      <c r="F522" s="1265"/>
      <c r="G522" s="1265"/>
      <c r="H522" s="1265"/>
      <c r="I522" s="1266"/>
      <c r="J522" s="1266"/>
      <c r="K522" s="1266"/>
      <c r="L522" s="1267"/>
      <c r="M522" s="750">
        <f t="shared" si="16"/>
        <v>0</v>
      </c>
    </row>
    <row r="523" spans="1:13" hidden="1" x14ac:dyDescent="0.25">
      <c r="A523" s="751" t="s">
        <v>550</v>
      </c>
      <c r="B523" s="751"/>
      <c r="C523" s="745" t="s">
        <v>1092</v>
      </c>
      <c r="D523" s="762">
        <f t="shared" si="15"/>
        <v>0</v>
      </c>
      <c r="E523" s="1264"/>
      <c r="F523" s="1265"/>
      <c r="G523" s="1265"/>
      <c r="H523" s="1265"/>
      <c r="I523" s="1266"/>
      <c r="J523" s="1266"/>
      <c r="K523" s="1266"/>
      <c r="L523" s="1267"/>
      <c r="M523" s="750">
        <f t="shared" si="16"/>
        <v>0</v>
      </c>
    </row>
    <row r="524" spans="1:13" hidden="1" x14ac:dyDescent="0.25">
      <c r="A524" s="751" t="s">
        <v>551</v>
      </c>
      <c r="B524" s="751"/>
      <c r="C524" s="745" t="s">
        <v>1093</v>
      </c>
      <c r="D524" s="762">
        <f t="shared" si="15"/>
        <v>0</v>
      </c>
      <c r="E524" s="1264"/>
      <c r="F524" s="1265"/>
      <c r="G524" s="1265"/>
      <c r="H524" s="1265"/>
      <c r="I524" s="1266"/>
      <c r="J524" s="1266"/>
      <c r="K524" s="1266"/>
      <c r="L524" s="1267"/>
      <c r="M524" s="750">
        <f t="shared" si="16"/>
        <v>0</v>
      </c>
    </row>
    <row r="525" spans="1:13" hidden="1" x14ac:dyDescent="0.25">
      <c r="A525" s="751" t="s">
        <v>552</v>
      </c>
      <c r="B525" s="751"/>
      <c r="C525" s="745" t="s">
        <v>1094</v>
      </c>
      <c r="D525" s="762">
        <f t="shared" si="15"/>
        <v>0</v>
      </c>
      <c r="E525" s="1264"/>
      <c r="F525" s="1265"/>
      <c r="G525" s="1265"/>
      <c r="H525" s="1265"/>
      <c r="I525" s="1266"/>
      <c r="J525" s="1266"/>
      <c r="K525" s="1266"/>
      <c r="L525" s="1267"/>
      <c r="M525" s="750">
        <f t="shared" si="16"/>
        <v>0</v>
      </c>
    </row>
    <row r="526" spans="1:13" hidden="1" x14ac:dyDescent="0.25">
      <c r="A526" s="751" t="s">
        <v>553</v>
      </c>
      <c r="B526" s="751"/>
      <c r="C526" s="745" t="s">
        <v>1095</v>
      </c>
      <c r="D526" s="762">
        <f t="shared" si="15"/>
        <v>0</v>
      </c>
      <c r="E526" s="1264"/>
      <c r="F526" s="1265"/>
      <c r="G526" s="1265"/>
      <c r="H526" s="1265"/>
      <c r="I526" s="1266"/>
      <c r="J526" s="1266"/>
      <c r="K526" s="1266"/>
      <c r="L526" s="1267"/>
      <c r="M526" s="750">
        <f t="shared" si="16"/>
        <v>0</v>
      </c>
    </row>
    <row r="527" spans="1:13" hidden="1" x14ac:dyDescent="0.25">
      <c r="A527" s="751" t="s">
        <v>554</v>
      </c>
      <c r="B527" s="751"/>
      <c r="C527" s="745" t="s">
        <v>1096</v>
      </c>
      <c r="D527" s="762">
        <f t="shared" si="15"/>
        <v>0</v>
      </c>
      <c r="E527" s="1264"/>
      <c r="F527" s="1265"/>
      <c r="G527" s="1265"/>
      <c r="H527" s="1265"/>
      <c r="I527" s="1266"/>
      <c r="J527" s="1266"/>
      <c r="K527" s="1266"/>
      <c r="L527" s="1267"/>
      <c r="M527" s="750">
        <f t="shared" si="16"/>
        <v>0</v>
      </c>
    </row>
    <row r="528" spans="1:13" x14ac:dyDescent="0.25">
      <c r="A528" s="751" t="s">
        <v>555</v>
      </c>
      <c r="B528" s="751"/>
      <c r="C528" s="745" t="s">
        <v>1097</v>
      </c>
      <c r="D528" s="762">
        <f t="shared" si="15"/>
        <v>490800</v>
      </c>
      <c r="E528" s="1264">
        <f>327700+163100</f>
        <v>490800</v>
      </c>
      <c r="F528" s="1265"/>
      <c r="G528" s="1265"/>
      <c r="H528" s="1265"/>
      <c r="I528" s="1266"/>
      <c r="J528" s="1266"/>
      <c r="K528" s="1266"/>
      <c r="L528" s="1267"/>
      <c r="M528" s="750">
        <f t="shared" si="16"/>
        <v>981600</v>
      </c>
    </row>
    <row r="529" spans="1:13" hidden="1" x14ac:dyDescent="0.25">
      <c r="A529" s="751" t="s">
        <v>556</v>
      </c>
      <c r="B529" s="751"/>
      <c r="C529" s="745" t="s">
        <v>1098</v>
      </c>
      <c r="D529" s="762">
        <f t="shared" si="15"/>
        <v>0</v>
      </c>
      <c r="E529" s="1264"/>
      <c r="F529" s="1265"/>
      <c r="G529" s="1265"/>
      <c r="H529" s="1265"/>
      <c r="I529" s="1266"/>
      <c r="J529" s="1266"/>
      <c r="K529" s="1266"/>
      <c r="L529" s="1267"/>
      <c r="M529" s="750">
        <f t="shared" si="16"/>
        <v>0</v>
      </c>
    </row>
    <row r="530" spans="1:13" x14ac:dyDescent="0.25">
      <c r="A530" s="751" t="s">
        <v>557</v>
      </c>
      <c r="B530" s="751"/>
      <c r="C530" s="745" t="s">
        <v>1099</v>
      </c>
      <c r="D530" s="762">
        <f t="shared" si="15"/>
        <v>747650</v>
      </c>
      <c r="E530" s="1264">
        <f>500000+247650</f>
        <v>747650</v>
      </c>
      <c r="F530" s="1265"/>
      <c r="G530" s="1265"/>
      <c r="H530" s="1265"/>
      <c r="I530" s="1266"/>
      <c r="J530" s="1266"/>
      <c r="K530" s="1266"/>
      <c r="L530" s="1267"/>
      <c r="M530" s="750">
        <f t="shared" si="16"/>
        <v>1495300</v>
      </c>
    </row>
    <row r="531" spans="1:13" x14ac:dyDescent="0.25">
      <c r="A531" s="751" t="s">
        <v>558</v>
      </c>
      <c r="B531" s="751"/>
      <c r="C531" s="745" t="s">
        <v>1100</v>
      </c>
      <c r="D531" s="762">
        <f t="shared" si="15"/>
        <v>947100</v>
      </c>
      <c r="E531" s="1264">
        <f>635000+312100</f>
        <v>947100</v>
      </c>
      <c r="F531" s="1265"/>
      <c r="G531" s="1265"/>
      <c r="H531" s="1265"/>
      <c r="I531" s="1266"/>
      <c r="J531" s="1266"/>
      <c r="K531" s="1266"/>
      <c r="L531" s="1267"/>
      <c r="M531" s="750">
        <f t="shared" si="16"/>
        <v>1894200</v>
      </c>
    </row>
    <row r="532" spans="1:13" hidden="1" x14ac:dyDescent="0.25">
      <c r="A532" s="751" t="s">
        <v>559</v>
      </c>
      <c r="B532" s="751"/>
      <c r="C532" s="745" t="s">
        <v>1101</v>
      </c>
      <c r="D532" s="762">
        <f t="shared" si="15"/>
        <v>0</v>
      </c>
      <c r="E532" s="1264"/>
      <c r="F532" s="1265"/>
      <c r="G532" s="1265"/>
      <c r="H532" s="1265"/>
      <c r="I532" s="1266"/>
      <c r="J532" s="1266"/>
      <c r="K532" s="1266"/>
      <c r="L532" s="1267"/>
      <c r="M532" s="750">
        <f t="shared" si="16"/>
        <v>0</v>
      </c>
    </row>
    <row r="533" spans="1:13" hidden="1" x14ac:dyDescent="0.25">
      <c r="A533" s="751" t="s">
        <v>560</v>
      </c>
      <c r="B533" s="751"/>
      <c r="C533" s="745" t="s">
        <v>1102</v>
      </c>
      <c r="D533" s="762">
        <f t="shared" si="15"/>
        <v>0</v>
      </c>
      <c r="E533" s="1264"/>
      <c r="F533" s="1265"/>
      <c r="G533" s="1265"/>
      <c r="H533" s="1265"/>
      <c r="I533" s="1266"/>
      <c r="J533" s="1266"/>
      <c r="K533" s="1266"/>
      <c r="L533" s="1267"/>
      <c r="M533" s="750">
        <f t="shared" si="16"/>
        <v>0</v>
      </c>
    </row>
    <row r="534" spans="1:13" hidden="1" x14ac:dyDescent="0.25">
      <c r="A534" s="751" t="s">
        <v>561</v>
      </c>
      <c r="B534" s="751"/>
      <c r="C534" s="745" t="s">
        <v>1103</v>
      </c>
      <c r="D534" s="762">
        <f t="shared" si="15"/>
        <v>0</v>
      </c>
      <c r="E534" s="1264"/>
      <c r="F534" s="1265"/>
      <c r="G534" s="1265"/>
      <c r="H534" s="1265"/>
      <c r="I534" s="1266"/>
      <c r="J534" s="1266"/>
      <c r="K534" s="1266"/>
      <c r="L534" s="1267"/>
      <c r="M534" s="750">
        <f t="shared" si="16"/>
        <v>0</v>
      </c>
    </row>
    <row r="535" spans="1:13" x14ac:dyDescent="0.25">
      <c r="A535" s="751" t="s">
        <v>562</v>
      </c>
      <c r="B535" s="751"/>
      <c r="C535" s="745" t="s">
        <v>1104</v>
      </c>
      <c r="D535" s="762">
        <f t="shared" si="15"/>
        <v>1639200</v>
      </c>
      <c r="E535" s="1264">
        <f>1081500+557700</f>
        <v>1639200</v>
      </c>
      <c r="F535" s="1265"/>
      <c r="G535" s="1265"/>
      <c r="H535" s="1265"/>
      <c r="I535" s="1266"/>
      <c r="J535" s="1266"/>
      <c r="K535" s="1266"/>
      <c r="L535" s="1267"/>
      <c r="M535" s="750">
        <f t="shared" si="16"/>
        <v>3278400</v>
      </c>
    </row>
    <row r="536" spans="1:13" hidden="1" x14ac:dyDescent="0.25">
      <c r="A536" s="751" t="s">
        <v>563</v>
      </c>
      <c r="B536" s="751"/>
      <c r="C536" s="745" t="s">
        <v>1105</v>
      </c>
      <c r="D536" s="762">
        <f t="shared" si="15"/>
        <v>0</v>
      </c>
      <c r="E536" s="1264"/>
      <c r="F536" s="1265"/>
      <c r="G536" s="1265"/>
      <c r="H536" s="1265"/>
      <c r="I536" s="1266"/>
      <c r="J536" s="1266"/>
      <c r="K536" s="1266"/>
      <c r="L536" s="1267"/>
      <c r="M536" s="750">
        <f t="shared" si="16"/>
        <v>0</v>
      </c>
    </row>
    <row r="537" spans="1:13" x14ac:dyDescent="0.25">
      <c r="A537" s="751" t="s">
        <v>564</v>
      </c>
      <c r="B537" s="751"/>
      <c r="C537" s="745" t="s">
        <v>1106</v>
      </c>
      <c r="D537" s="762">
        <f t="shared" si="15"/>
        <v>415500</v>
      </c>
      <c r="E537" s="1264">
        <f>278600+136900</f>
        <v>415500</v>
      </c>
      <c r="F537" s="1265"/>
      <c r="G537" s="1265"/>
      <c r="H537" s="1265"/>
      <c r="I537" s="1266"/>
      <c r="J537" s="1266"/>
      <c r="K537" s="1266"/>
      <c r="L537" s="1267"/>
      <c r="M537" s="750">
        <f t="shared" si="16"/>
        <v>831000</v>
      </c>
    </row>
    <row r="538" spans="1:13" x14ac:dyDescent="0.25">
      <c r="A538" s="751" t="s">
        <v>565</v>
      </c>
      <c r="B538" s="751"/>
      <c r="C538" s="745" t="s">
        <v>1107</v>
      </c>
      <c r="D538" s="762">
        <f t="shared" si="15"/>
        <v>1117900</v>
      </c>
      <c r="E538" s="1264">
        <f>737400+380500</f>
        <v>1117900</v>
      </c>
      <c r="F538" s="1265"/>
      <c r="G538" s="1265"/>
      <c r="H538" s="1265"/>
      <c r="I538" s="1266"/>
      <c r="J538" s="1266"/>
      <c r="K538" s="1266"/>
      <c r="L538" s="1267"/>
      <c r="M538" s="750">
        <f t="shared" si="16"/>
        <v>2235800</v>
      </c>
    </row>
    <row r="539" spans="1:13" hidden="1" x14ac:dyDescent="0.25">
      <c r="A539" s="751" t="s">
        <v>566</v>
      </c>
      <c r="B539" s="751"/>
      <c r="C539" s="745" t="s">
        <v>1108</v>
      </c>
      <c r="D539" s="762">
        <f t="shared" si="15"/>
        <v>0</v>
      </c>
      <c r="E539" s="1264"/>
      <c r="F539" s="1265"/>
      <c r="G539" s="1265"/>
      <c r="H539" s="1265"/>
      <c r="I539" s="1266"/>
      <c r="J539" s="1266"/>
      <c r="K539" s="1266"/>
      <c r="L539" s="1267"/>
      <c r="M539" s="750">
        <f t="shared" si="16"/>
        <v>0</v>
      </c>
    </row>
    <row r="540" spans="1:13" hidden="1" x14ac:dyDescent="0.25">
      <c r="A540" s="751" t="s">
        <v>567</v>
      </c>
      <c r="B540" s="751"/>
      <c r="C540" s="745" t="s">
        <v>1109</v>
      </c>
      <c r="D540" s="762">
        <f t="shared" si="15"/>
        <v>0</v>
      </c>
      <c r="E540" s="1264"/>
      <c r="F540" s="1265"/>
      <c r="G540" s="1265"/>
      <c r="H540" s="1265"/>
      <c r="I540" s="1266"/>
      <c r="J540" s="1266"/>
      <c r="K540" s="1266"/>
      <c r="L540" s="1267"/>
      <c r="M540" s="750">
        <f t="shared" si="16"/>
        <v>0</v>
      </c>
    </row>
    <row r="541" spans="1:13" hidden="1" x14ac:dyDescent="0.25">
      <c r="A541" s="751" t="s">
        <v>780</v>
      </c>
      <c r="B541" s="751"/>
      <c r="C541" s="745" t="s">
        <v>1110</v>
      </c>
      <c r="D541" s="762">
        <f t="shared" si="15"/>
        <v>0</v>
      </c>
      <c r="E541" s="1264"/>
      <c r="F541" s="1265"/>
      <c r="G541" s="1265"/>
      <c r="H541" s="1265"/>
      <c r="I541" s="1266"/>
      <c r="J541" s="1266"/>
      <c r="K541" s="1266"/>
      <c r="L541" s="1267"/>
      <c r="M541" s="750">
        <f t="shared" si="16"/>
        <v>0</v>
      </c>
    </row>
    <row r="542" spans="1:13" hidden="1" x14ac:dyDescent="0.25">
      <c r="A542" s="751" t="s">
        <v>781</v>
      </c>
      <c r="B542" s="751"/>
      <c r="C542" s="745" t="s">
        <v>1111</v>
      </c>
      <c r="D542" s="762">
        <f t="shared" si="15"/>
        <v>0</v>
      </c>
      <c r="E542" s="1264"/>
      <c r="F542" s="1265"/>
      <c r="G542" s="1265"/>
      <c r="H542" s="1265"/>
      <c r="I542" s="1266"/>
      <c r="J542" s="1266"/>
      <c r="K542" s="1266"/>
      <c r="L542" s="1267"/>
      <c r="M542" s="750">
        <f t="shared" si="16"/>
        <v>0</v>
      </c>
    </row>
    <row r="543" spans="1:13" hidden="1" x14ac:dyDescent="0.25">
      <c r="A543" s="751" t="s">
        <v>782</v>
      </c>
      <c r="B543" s="751"/>
      <c r="C543" s="745" t="s">
        <v>1112</v>
      </c>
      <c r="D543" s="762">
        <f t="shared" si="15"/>
        <v>0</v>
      </c>
      <c r="E543" s="1264"/>
      <c r="F543" s="1265"/>
      <c r="G543" s="1265"/>
      <c r="H543" s="1265"/>
      <c r="I543" s="1266"/>
      <c r="J543" s="1266"/>
      <c r="K543" s="1266"/>
      <c r="L543" s="1267"/>
      <c r="M543" s="750">
        <f t="shared" si="16"/>
        <v>0</v>
      </c>
    </row>
    <row r="544" spans="1:13" x14ac:dyDescent="0.25">
      <c r="A544" s="751" t="s">
        <v>783</v>
      </c>
      <c r="B544" s="751"/>
      <c r="C544" s="745" t="s">
        <v>1113</v>
      </c>
      <c r="D544" s="762">
        <f t="shared" si="15"/>
        <v>986000</v>
      </c>
      <c r="E544" s="1264">
        <f>680000+306000</f>
        <v>986000</v>
      </c>
      <c r="F544" s="1265"/>
      <c r="G544" s="1265"/>
      <c r="H544" s="1265"/>
      <c r="I544" s="1266"/>
      <c r="J544" s="1266"/>
      <c r="K544" s="1266"/>
      <c r="L544" s="1267"/>
      <c r="M544" s="750">
        <f t="shared" si="16"/>
        <v>1972000</v>
      </c>
    </row>
    <row r="545" spans="1:13" x14ac:dyDescent="0.25">
      <c r="A545" s="751" t="s">
        <v>784</v>
      </c>
      <c r="B545" s="751"/>
      <c r="C545" s="745" t="s">
        <v>1114</v>
      </c>
      <c r="D545" s="762">
        <f t="shared" si="15"/>
        <v>1267100</v>
      </c>
      <c r="E545" s="1264">
        <f>864400+402700</f>
        <v>1267100</v>
      </c>
      <c r="F545" s="1265"/>
      <c r="G545" s="1265"/>
      <c r="H545" s="1265"/>
      <c r="I545" s="1266"/>
      <c r="J545" s="1266"/>
      <c r="K545" s="1266"/>
      <c r="L545" s="1267"/>
      <c r="M545" s="750">
        <f t="shared" si="16"/>
        <v>2534200</v>
      </c>
    </row>
    <row r="546" spans="1:13" hidden="1" x14ac:dyDescent="0.25">
      <c r="A546" s="751" t="s">
        <v>785</v>
      </c>
      <c r="B546" s="751"/>
      <c r="C546" s="745" t="s">
        <v>1115</v>
      </c>
      <c r="D546" s="762">
        <f t="shared" si="15"/>
        <v>0</v>
      </c>
      <c r="E546" s="1264"/>
      <c r="F546" s="1265"/>
      <c r="G546" s="1265"/>
      <c r="H546" s="1265"/>
      <c r="I546" s="1266"/>
      <c r="J546" s="1266"/>
      <c r="K546" s="1266"/>
      <c r="L546" s="1267"/>
      <c r="M546" s="750">
        <f t="shared" si="16"/>
        <v>0</v>
      </c>
    </row>
    <row r="547" spans="1:13" x14ac:dyDescent="0.25">
      <c r="A547" s="751" t="s">
        <v>910</v>
      </c>
      <c r="B547" s="751"/>
      <c r="C547" s="745" t="s">
        <v>1116</v>
      </c>
      <c r="D547" s="762">
        <f t="shared" si="15"/>
        <v>12114100</v>
      </c>
      <c r="E547" s="1264">
        <f>8103400+4010700</f>
        <v>12114100</v>
      </c>
      <c r="F547" s="1265"/>
      <c r="G547" s="1265"/>
      <c r="H547" s="1265"/>
      <c r="I547" s="1266"/>
      <c r="J547" s="1266"/>
      <c r="K547" s="1266"/>
      <c r="L547" s="1267"/>
      <c r="M547" s="750">
        <f t="shared" si="16"/>
        <v>24228200</v>
      </c>
    </row>
    <row r="548" spans="1:13" x14ac:dyDescent="0.25">
      <c r="A548" s="751" t="s">
        <v>911</v>
      </c>
      <c r="B548" s="751"/>
      <c r="C548" s="745" t="s">
        <v>1117</v>
      </c>
      <c r="D548" s="762">
        <f t="shared" si="15"/>
        <v>2863400</v>
      </c>
      <c r="E548" s="1264">
        <f>1905000+958400</f>
        <v>2863400</v>
      </c>
      <c r="F548" s="1265"/>
      <c r="G548" s="1265"/>
      <c r="H548" s="1265"/>
      <c r="I548" s="1266"/>
      <c r="J548" s="1266"/>
      <c r="K548" s="1266"/>
      <c r="L548" s="1267"/>
      <c r="M548" s="750">
        <f t="shared" si="16"/>
        <v>5726800</v>
      </c>
    </row>
    <row r="549" spans="1:13" hidden="1" x14ac:dyDescent="0.25">
      <c r="A549" s="751" t="s">
        <v>1118</v>
      </c>
      <c r="B549" s="751"/>
      <c r="C549" s="745" t="s">
        <v>1119</v>
      </c>
      <c r="D549" s="762">
        <f t="shared" si="15"/>
        <v>0</v>
      </c>
      <c r="E549" s="1264"/>
      <c r="F549" s="1265"/>
      <c r="G549" s="1265"/>
      <c r="H549" s="1265"/>
      <c r="I549" s="1266"/>
      <c r="J549" s="1266"/>
      <c r="K549" s="1266"/>
      <c r="L549" s="1267"/>
      <c r="M549" s="750">
        <f t="shared" si="16"/>
        <v>0</v>
      </c>
    </row>
    <row r="550" spans="1:13" hidden="1" x14ac:dyDescent="0.25">
      <c r="A550" s="751" t="s">
        <v>1120</v>
      </c>
      <c r="B550" s="751"/>
      <c r="C550" s="745" t="s">
        <v>1121</v>
      </c>
      <c r="D550" s="762">
        <f t="shared" si="15"/>
        <v>0</v>
      </c>
      <c r="E550" s="1264"/>
      <c r="F550" s="1265"/>
      <c r="G550" s="1265"/>
      <c r="H550" s="1265"/>
      <c r="I550" s="1266"/>
      <c r="J550" s="1266"/>
      <c r="K550" s="1266"/>
      <c r="L550" s="1267"/>
      <c r="M550" s="750">
        <f t="shared" si="16"/>
        <v>0</v>
      </c>
    </row>
    <row r="551" spans="1:13" hidden="1" x14ac:dyDescent="0.25">
      <c r="A551" s="751" t="s">
        <v>1122</v>
      </c>
      <c r="B551" s="751"/>
      <c r="C551" s="745" t="s">
        <v>1123</v>
      </c>
      <c r="D551" s="762">
        <f t="shared" si="15"/>
        <v>0</v>
      </c>
      <c r="E551" s="1264"/>
      <c r="F551" s="1265"/>
      <c r="G551" s="1265"/>
      <c r="H551" s="1265"/>
      <c r="I551" s="1266"/>
      <c r="J551" s="1266"/>
      <c r="K551" s="1266"/>
      <c r="L551" s="1267"/>
      <c r="M551" s="750">
        <f t="shared" si="16"/>
        <v>0</v>
      </c>
    </row>
    <row r="552" spans="1:13" x14ac:dyDescent="0.25">
      <c r="A552" s="751" t="s">
        <v>1124</v>
      </c>
      <c r="B552" s="751"/>
      <c r="C552" s="745" t="s">
        <v>1125</v>
      </c>
      <c r="D552" s="762">
        <f t="shared" si="15"/>
        <v>1077000</v>
      </c>
      <c r="E552" s="1264">
        <f>696500+380500</f>
        <v>1077000</v>
      </c>
      <c r="F552" s="1265"/>
      <c r="G552" s="1265"/>
      <c r="H552" s="1265"/>
      <c r="I552" s="1266"/>
      <c r="J552" s="1266"/>
      <c r="K552" s="1266"/>
      <c r="L552" s="1267"/>
      <c r="M552" s="750">
        <f t="shared" si="16"/>
        <v>2154000</v>
      </c>
    </row>
    <row r="553" spans="1:13" x14ac:dyDescent="0.25">
      <c r="A553" s="751" t="s">
        <v>1126</v>
      </c>
      <c r="B553" s="751"/>
      <c r="C553" s="745" t="s">
        <v>1127</v>
      </c>
      <c r="D553" s="762">
        <f t="shared" si="15"/>
        <v>3268400</v>
      </c>
      <c r="E553" s="1264">
        <f>2155000+1113400</f>
        <v>3268400</v>
      </c>
      <c r="F553" s="1265"/>
      <c r="G553" s="1265"/>
      <c r="H553" s="1265"/>
      <c r="I553" s="1266"/>
      <c r="J553" s="1266"/>
      <c r="K553" s="1266"/>
      <c r="L553" s="1267"/>
      <c r="M553" s="750">
        <f t="shared" si="16"/>
        <v>6536800</v>
      </c>
    </row>
    <row r="554" spans="1:13" hidden="1" x14ac:dyDescent="0.25">
      <c r="A554" s="751" t="s">
        <v>1128</v>
      </c>
      <c r="B554" s="751"/>
      <c r="C554" s="745" t="s">
        <v>1129</v>
      </c>
      <c r="D554" s="762">
        <f t="shared" si="15"/>
        <v>0</v>
      </c>
      <c r="E554" s="1264"/>
      <c r="F554" s="1265"/>
      <c r="G554" s="1265"/>
      <c r="H554" s="1265"/>
      <c r="I554" s="1266"/>
      <c r="J554" s="1266"/>
      <c r="K554" s="1266"/>
      <c r="L554" s="1267"/>
      <c r="M554" s="750">
        <f t="shared" si="16"/>
        <v>0</v>
      </c>
    </row>
    <row r="555" spans="1:13" hidden="1" x14ac:dyDescent="0.25">
      <c r="A555" s="751" t="s">
        <v>1130</v>
      </c>
      <c r="B555" s="751"/>
      <c r="C555" s="745" t="s">
        <v>1131</v>
      </c>
      <c r="D555" s="762">
        <f t="shared" si="15"/>
        <v>0</v>
      </c>
      <c r="E555" s="1264"/>
      <c r="F555" s="1265"/>
      <c r="G555" s="1265"/>
      <c r="H555" s="1265"/>
      <c r="I555" s="1266"/>
      <c r="J555" s="1266"/>
      <c r="K555" s="1266"/>
      <c r="L555" s="1267"/>
      <c r="M555" s="750">
        <f t="shared" si="16"/>
        <v>0</v>
      </c>
    </row>
    <row r="556" spans="1:13" hidden="1" x14ac:dyDescent="0.25">
      <c r="A556" s="751" t="s">
        <v>1132</v>
      </c>
      <c r="B556" s="751"/>
      <c r="C556" s="745" t="s">
        <v>1133</v>
      </c>
      <c r="D556" s="762">
        <f t="shared" si="15"/>
        <v>0</v>
      </c>
      <c r="E556" s="1264"/>
      <c r="F556" s="1265"/>
      <c r="G556" s="1265"/>
      <c r="H556" s="1265"/>
      <c r="I556" s="1266"/>
      <c r="J556" s="1266"/>
      <c r="K556" s="1266"/>
      <c r="L556" s="1267"/>
      <c r="M556" s="750">
        <f t="shared" si="16"/>
        <v>0</v>
      </c>
    </row>
    <row r="557" spans="1:13" hidden="1" x14ac:dyDescent="0.25">
      <c r="A557" s="751" t="s">
        <v>1134</v>
      </c>
      <c r="B557" s="751"/>
      <c r="C557" s="745" t="s">
        <v>1135</v>
      </c>
      <c r="D557" s="762">
        <f t="shared" si="15"/>
        <v>0</v>
      </c>
      <c r="E557" s="1264"/>
      <c r="F557" s="1265"/>
      <c r="G557" s="1265"/>
      <c r="H557" s="1265"/>
      <c r="I557" s="1266"/>
      <c r="J557" s="1266"/>
      <c r="K557" s="1266"/>
      <c r="L557" s="1267"/>
      <c r="M557" s="750">
        <f t="shared" si="16"/>
        <v>0</v>
      </c>
    </row>
    <row r="558" spans="1:13" x14ac:dyDescent="0.25">
      <c r="A558" s="751" t="s">
        <v>1136</v>
      </c>
      <c r="B558" s="751"/>
      <c r="C558" s="745" t="s">
        <v>1137</v>
      </c>
      <c r="D558" s="762">
        <f t="shared" si="15"/>
        <v>2273000</v>
      </c>
      <c r="E558" s="1264">
        <f>1528000+745000</f>
        <v>2273000</v>
      </c>
      <c r="F558" s="1265"/>
      <c r="G558" s="1265"/>
      <c r="H558" s="1265"/>
      <c r="I558" s="1266"/>
      <c r="J558" s="1266"/>
      <c r="K558" s="1266"/>
      <c r="L558" s="1267"/>
      <c r="M558" s="750">
        <f t="shared" si="16"/>
        <v>4546000</v>
      </c>
    </row>
    <row r="559" spans="1:13" x14ac:dyDescent="0.25">
      <c r="A559" s="751" t="s">
        <v>1138</v>
      </c>
      <c r="B559" s="751"/>
      <c r="C559" s="745" t="s">
        <v>1139</v>
      </c>
      <c r="D559" s="762">
        <f t="shared" si="15"/>
        <v>1099500</v>
      </c>
      <c r="E559" s="1264">
        <f>721000+378500</f>
        <v>1099500</v>
      </c>
      <c r="F559" s="1265"/>
      <c r="G559" s="1265"/>
      <c r="H559" s="1265"/>
      <c r="I559" s="1266"/>
      <c r="J559" s="1266"/>
      <c r="K559" s="1266"/>
      <c r="L559" s="1267"/>
      <c r="M559" s="750">
        <f t="shared" si="16"/>
        <v>2199000</v>
      </c>
    </row>
    <row r="560" spans="1:13" ht="18.75" customHeight="1" x14ac:dyDescent="0.25">
      <c r="A560" s="751" t="s">
        <v>1140</v>
      </c>
      <c r="B560" s="751"/>
      <c r="C560" s="745" t="s">
        <v>1141</v>
      </c>
      <c r="D560" s="762">
        <f t="shared" si="15"/>
        <v>2197750</v>
      </c>
      <c r="E560" s="1264">
        <f>1483000+714750</f>
        <v>2197750</v>
      </c>
      <c r="F560" s="1265"/>
      <c r="G560" s="1265"/>
      <c r="H560" s="1265"/>
      <c r="I560" s="1266"/>
      <c r="J560" s="1266"/>
      <c r="K560" s="1266"/>
      <c r="L560" s="1267"/>
      <c r="M560" s="750">
        <f t="shared" si="16"/>
        <v>4395500</v>
      </c>
    </row>
    <row r="561" spans="1:14" x14ac:dyDescent="0.25">
      <c r="A561" s="751" t="s">
        <v>1142</v>
      </c>
      <c r="B561" s="751"/>
      <c r="C561" s="745" t="s">
        <v>1143</v>
      </c>
      <c r="D561" s="762">
        <f t="shared" si="15"/>
        <v>906400</v>
      </c>
      <c r="E561" s="1264">
        <f>614500+291900</f>
        <v>906400</v>
      </c>
      <c r="F561" s="1265"/>
      <c r="G561" s="1265"/>
      <c r="H561" s="1265"/>
      <c r="I561" s="1266"/>
      <c r="J561" s="1266"/>
      <c r="K561" s="1266"/>
      <c r="L561" s="1267"/>
      <c r="M561" s="750">
        <f t="shared" si="16"/>
        <v>1812800</v>
      </c>
    </row>
    <row r="562" spans="1:14" x14ac:dyDescent="0.25">
      <c r="A562" s="751" t="s">
        <v>1144</v>
      </c>
      <c r="B562" s="751"/>
      <c r="C562" s="745" t="s">
        <v>1145</v>
      </c>
      <c r="D562" s="762">
        <f t="shared" si="15"/>
        <v>1038500</v>
      </c>
      <c r="E562" s="1264">
        <f>688200+350300</f>
        <v>1038500</v>
      </c>
      <c r="F562" s="1265"/>
      <c r="G562" s="1265"/>
      <c r="H562" s="1265"/>
      <c r="I562" s="1266"/>
      <c r="J562" s="1266"/>
      <c r="K562" s="1266"/>
      <c r="L562" s="1267"/>
      <c r="M562" s="750">
        <f t="shared" si="16"/>
        <v>2077000</v>
      </c>
    </row>
    <row r="563" spans="1:14" x14ac:dyDescent="0.25">
      <c r="A563" s="751" t="s">
        <v>1146</v>
      </c>
      <c r="B563" s="751"/>
      <c r="C563" s="745" t="s">
        <v>1147</v>
      </c>
      <c r="D563" s="762">
        <f t="shared" si="15"/>
        <v>804300</v>
      </c>
      <c r="E563" s="1264">
        <f>524400+279900</f>
        <v>804300</v>
      </c>
      <c r="F563" s="1265"/>
      <c r="G563" s="1265"/>
      <c r="H563" s="1265"/>
      <c r="I563" s="1266"/>
      <c r="J563" s="1266"/>
      <c r="K563" s="1266"/>
      <c r="L563" s="1267"/>
      <c r="M563" s="750">
        <f t="shared" si="16"/>
        <v>1608600</v>
      </c>
    </row>
    <row r="564" spans="1:14" hidden="1" x14ac:dyDescent="0.25">
      <c r="A564" s="751" t="s">
        <v>1148</v>
      </c>
      <c r="B564" s="751"/>
      <c r="C564" s="745" t="s">
        <v>1149</v>
      </c>
      <c r="D564" s="864">
        <f>E564</f>
        <v>0</v>
      </c>
      <c r="E564" s="1268"/>
      <c r="F564" s="1269"/>
      <c r="G564" s="1269"/>
      <c r="H564" s="1269"/>
      <c r="I564" s="1270"/>
      <c r="J564" s="1270"/>
      <c r="K564" s="1270"/>
      <c r="L564" s="1271"/>
      <c r="M564" s="750">
        <f t="shared" si="16"/>
        <v>0</v>
      </c>
    </row>
    <row r="565" spans="1:14" ht="356.25" x14ac:dyDescent="0.25">
      <c r="A565" s="1316" t="s">
        <v>705</v>
      </c>
      <c r="B565" s="1317">
        <v>9241</v>
      </c>
      <c r="C565" s="1318" t="s">
        <v>825</v>
      </c>
      <c r="D565" s="1314">
        <f>SUM(D566:D632)</f>
        <v>26497017</v>
      </c>
      <c r="E565" s="1315"/>
      <c r="F565" s="1257"/>
      <c r="G565" s="1257"/>
      <c r="H565" s="1257"/>
      <c r="I565" s="1195"/>
      <c r="J565" s="1195"/>
      <c r="K565" s="1195"/>
      <c r="L565" s="1196"/>
      <c r="M565" s="750">
        <f t="shared" si="16"/>
        <v>26497017</v>
      </c>
      <c r="N565" s="1593" t="b">
        <f>D565=дод3!E146</f>
        <v>1</v>
      </c>
    </row>
    <row r="566" spans="1:14" ht="17.45" hidden="1" customHeight="1" x14ac:dyDescent="0.25">
      <c r="A566" s="751" t="s">
        <v>526</v>
      </c>
      <c r="B566" s="748"/>
      <c r="C566" s="745" t="s">
        <v>1060</v>
      </c>
      <c r="D566" s="928"/>
      <c r="E566" s="1268"/>
      <c r="F566" s="1269"/>
      <c r="G566" s="1269"/>
      <c r="H566" s="1269"/>
      <c r="I566" s="1270"/>
      <c r="J566" s="1270"/>
      <c r="K566" s="1270"/>
      <c r="L566" s="1271"/>
      <c r="M566" s="750">
        <f t="shared" si="16"/>
        <v>0</v>
      </c>
    </row>
    <row r="567" spans="1:14" ht="17.45" hidden="1" customHeight="1" x14ac:dyDescent="0.25">
      <c r="A567" s="751" t="s">
        <v>527</v>
      </c>
      <c r="B567" s="748"/>
      <c r="C567" s="745" t="s">
        <v>1069</v>
      </c>
      <c r="D567" s="928"/>
      <c r="E567" s="1268"/>
      <c r="F567" s="1269"/>
      <c r="G567" s="1269"/>
      <c r="H567" s="1269"/>
      <c r="I567" s="1270"/>
      <c r="J567" s="1270"/>
      <c r="K567" s="1270"/>
      <c r="L567" s="1271"/>
      <c r="M567" s="750">
        <f t="shared" si="16"/>
        <v>0</v>
      </c>
    </row>
    <row r="568" spans="1:14" ht="20.25" hidden="1" x14ac:dyDescent="0.25">
      <c r="A568" s="751" t="s">
        <v>528</v>
      </c>
      <c r="B568" s="748"/>
      <c r="C568" s="745" t="s">
        <v>1070</v>
      </c>
      <c r="D568" s="928"/>
      <c r="E568" s="1268"/>
      <c r="F568" s="1269"/>
      <c r="G568" s="1269"/>
      <c r="H568" s="1269"/>
      <c r="I568" s="1270"/>
      <c r="J568" s="1270"/>
      <c r="K568" s="1270"/>
      <c r="L568" s="1271"/>
      <c r="M568" s="750">
        <f t="shared" si="16"/>
        <v>0</v>
      </c>
    </row>
    <row r="569" spans="1:14" ht="20.25" x14ac:dyDescent="0.25">
      <c r="A569" s="751" t="s">
        <v>529</v>
      </c>
      <c r="B569" s="748"/>
      <c r="C569" s="745" t="s">
        <v>1071</v>
      </c>
      <c r="D569" s="926">
        <f>1063338+37226</f>
        <v>1100564</v>
      </c>
      <c r="E569" s="1268"/>
      <c r="F569" s="1269"/>
      <c r="G569" s="1269"/>
      <c r="H569" s="1269"/>
      <c r="I569" s="1270"/>
      <c r="J569" s="1270"/>
      <c r="K569" s="1270"/>
      <c r="L569" s="1271"/>
      <c r="M569" s="750">
        <f t="shared" si="16"/>
        <v>1100564</v>
      </c>
    </row>
    <row r="570" spans="1:14" ht="20.25" hidden="1" x14ac:dyDescent="0.25">
      <c r="A570" s="751" t="s">
        <v>530</v>
      </c>
      <c r="B570" s="748"/>
      <c r="C570" s="745" t="s">
        <v>1072</v>
      </c>
      <c r="D570" s="928"/>
      <c r="E570" s="1268"/>
      <c r="F570" s="1269"/>
      <c r="G570" s="1269"/>
      <c r="H570" s="1269"/>
      <c r="I570" s="1270"/>
      <c r="J570" s="1270"/>
      <c r="K570" s="1270"/>
      <c r="L570" s="1271"/>
      <c r="M570" s="750">
        <f t="shared" si="16"/>
        <v>0</v>
      </c>
    </row>
    <row r="571" spans="1:14" ht="20.25" hidden="1" x14ac:dyDescent="0.25">
      <c r="A571" s="751" t="s">
        <v>531</v>
      </c>
      <c r="B571" s="748"/>
      <c r="C571" s="745" t="s">
        <v>1073</v>
      </c>
      <c r="D571" s="928"/>
      <c r="E571" s="1268"/>
      <c r="F571" s="1269"/>
      <c r="G571" s="1269"/>
      <c r="H571" s="1269"/>
      <c r="I571" s="1270"/>
      <c r="J571" s="1270"/>
      <c r="K571" s="1270"/>
      <c r="L571" s="1271"/>
      <c r="M571" s="750">
        <f t="shared" si="16"/>
        <v>0</v>
      </c>
    </row>
    <row r="572" spans="1:14" ht="20.25" hidden="1" x14ac:dyDescent="0.25">
      <c r="A572" s="751" t="s">
        <v>532</v>
      </c>
      <c r="B572" s="748"/>
      <c r="C572" s="745" t="s">
        <v>1074</v>
      </c>
      <c r="D572" s="928"/>
      <c r="E572" s="1268"/>
      <c r="F572" s="1269"/>
      <c r="G572" s="1269"/>
      <c r="H572" s="1269"/>
      <c r="I572" s="1270"/>
      <c r="J572" s="1270"/>
      <c r="K572" s="1270"/>
      <c r="L572" s="1271"/>
      <c r="M572" s="750">
        <f t="shared" si="16"/>
        <v>0</v>
      </c>
    </row>
    <row r="573" spans="1:14" ht="20.25" hidden="1" x14ac:dyDescent="0.25">
      <c r="A573" s="751" t="s">
        <v>533</v>
      </c>
      <c r="B573" s="748"/>
      <c r="C573" s="745" t="s">
        <v>1075</v>
      </c>
      <c r="D573" s="928"/>
      <c r="E573" s="1268"/>
      <c r="F573" s="1269"/>
      <c r="G573" s="1269"/>
      <c r="H573" s="1269"/>
      <c r="I573" s="1270"/>
      <c r="J573" s="1270"/>
      <c r="K573" s="1270"/>
      <c r="L573" s="1271"/>
      <c r="M573" s="750">
        <f t="shared" si="16"/>
        <v>0</v>
      </c>
    </row>
    <row r="574" spans="1:14" ht="20.25" hidden="1" x14ac:dyDescent="0.25">
      <c r="A574" s="751" t="s">
        <v>534</v>
      </c>
      <c r="B574" s="748"/>
      <c r="C574" s="745" t="s">
        <v>1076</v>
      </c>
      <c r="D574" s="928"/>
      <c r="E574" s="1268"/>
      <c r="F574" s="1269"/>
      <c r="G574" s="1269"/>
      <c r="H574" s="1269"/>
      <c r="I574" s="1270"/>
      <c r="J574" s="1270"/>
      <c r="K574" s="1270"/>
      <c r="L574" s="1271"/>
      <c r="M574" s="750">
        <f t="shared" si="16"/>
        <v>0</v>
      </c>
    </row>
    <row r="575" spans="1:14" ht="20.25" hidden="1" x14ac:dyDescent="0.25">
      <c r="A575" s="751" t="s">
        <v>535</v>
      </c>
      <c r="B575" s="748"/>
      <c r="C575" s="745" t="s">
        <v>1077</v>
      </c>
      <c r="D575" s="928"/>
      <c r="E575" s="1268"/>
      <c r="F575" s="1269"/>
      <c r="G575" s="1269"/>
      <c r="H575" s="1269"/>
      <c r="I575" s="1270"/>
      <c r="J575" s="1270"/>
      <c r="K575" s="1270"/>
      <c r="L575" s="1271"/>
      <c r="M575" s="750">
        <f t="shared" si="16"/>
        <v>0</v>
      </c>
    </row>
    <row r="576" spans="1:14" ht="20.25" x14ac:dyDescent="0.25">
      <c r="A576" s="751" t="s">
        <v>536</v>
      </c>
      <c r="B576" s="748"/>
      <c r="C576" s="745" t="s">
        <v>1078</v>
      </c>
      <c r="D576" s="926">
        <f>1788492+171703+68555</f>
        <v>2028750</v>
      </c>
      <c r="E576" s="1268"/>
      <c r="F576" s="1269"/>
      <c r="G576" s="1269"/>
      <c r="H576" s="1269"/>
      <c r="I576" s="1270"/>
      <c r="J576" s="1270"/>
      <c r="K576" s="1270"/>
      <c r="L576" s="1271"/>
      <c r="M576" s="750">
        <f t="shared" si="16"/>
        <v>2028750</v>
      </c>
    </row>
    <row r="577" spans="1:13" ht="20.25" hidden="1" x14ac:dyDescent="0.25">
      <c r="A577" s="751" t="s">
        <v>537</v>
      </c>
      <c r="B577" s="748"/>
      <c r="C577" s="745" t="s">
        <v>1079</v>
      </c>
      <c r="D577" s="928"/>
      <c r="E577" s="1268"/>
      <c r="F577" s="1269"/>
      <c r="G577" s="1269"/>
      <c r="H577" s="1269"/>
      <c r="I577" s="1270"/>
      <c r="J577" s="1270"/>
      <c r="K577" s="1270"/>
      <c r="L577" s="1271"/>
      <c r="M577" s="750">
        <f t="shared" si="16"/>
        <v>0</v>
      </c>
    </row>
    <row r="578" spans="1:13" ht="20.25" x14ac:dyDescent="0.25">
      <c r="A578" s="751" t="s">
        <v>538</v>
      </c>
      <c r="B578" s="748"/>
      <c r="C578" s="745" t="s">
        <v>1080</v>
      </c>
      <c r="D578" s="926">
        <v>894897</v>
      </c>
      <c r="E578" s="1268"/>
      <c r="F578" s="1269"/>
      <c r="G578" s="1269"/>
      <c r="H578" s="1269"/>
      <c r="I578" s="1270"/>
      <c r="J578" s="1270"/>
      <c r="K578" s="1270"/>
      <c r="L578" s="1271"/>
      <c r="M578" s="750">
        <f t="shared" si="16"/>
        <v>894897</v>
      </c>
    </row>
    <row r="579" spans="1:13" ht="20.25" hidden="1" x14ac:dyDescent="0.25">
      <c r="A579" s="751" t="s">
        <v>539</v>
      </c>
      <c r="B579" s="748"/>
      <c r="C579" s="745" t="s">
        <v>1081</v>
      </c>
      <c r="D579" s="928"/>
      <c r="E579" s="1268"/>
      <c r="F579" s="1269"/>
      <c r="G579" s="1269"/>
      <c r="H579" s="1269"/>
      <c r="I579" s="1270"/>
      <c r="J579" s="1270"/>
      <c r="K579" s="1270"/>
      <c r="L579" s="1271"/>
      <c r="M579" s="750">
        <f t="shared" si="16"/>
        <v>0</v>
      </c>
    </row>
    <row r="580" spans="1:13" ht="20.25" hidden="1" x14ac:dyDescent="0.25">
      <c r="A580" s="751" t="s">
        <v>540</v>
      </c>
      <c r="B580" s="748"/>
      <c r="C580" s="745" t="s">
        <v>1082</v>
      </c>
      <c r="D580" s="928"/>
      <c r="E580" s="1268"/>
      <c r="F580" s="1269"/>
      <c r="G580" s="1269"/>
      <c r="H580" s="1269"/>
      <c r="I580" s="1270"/>
      <c r="J580" s="1270"/>
      <c r="K580" s="1270"/>
      <c r="L580" s="1271"/>
      <c r="M580" s="750">
        <f t="shared" si="16"/>
        <v>0</v>
      </c>
    </row>
    <row r="581" spans="1:13" ht="20.25" x14ac:dyDescent="0.25">
      <c r="A581" s="751" t="s">
        <v>541</v>
      </c>
      <c r="B581" s="748"/>
      <c r="C581" s="745" t="s">
        <v>1083</v>
      </c>
      <c r="D581" s="926">
        <f>3133+1326125+46501</f>
        <v>1375759</v>
      </c>
      <c r="E581" s="1268"/>
      <c r="F581" s="1269"/>
      <c r="G581" s="1269"/>
      <c r="H581" s="1269"/>
      <c r="I581" s="1270"/>
      <c r="J581" s="1270"/>
      <c r="K581" s="1270"/>
      <c r="L581" s="1271"/>
      <c r="M581" s="750">
        <f t="shared" si="16"/>
        <v>1375759</v>
      </c>
    </row>
    <row r="582" spans="1:13" ht="20.25" x14ac:dyDescent="0.25">
      <c r="A582" s="751" t="s">
        <v>542</v>
      </c>
      <c r="B582" s="748"/>
      <c r="C582" s="745" t="s">
        <v>1084</v>
      </c>
      <c r="D582" s="926">
        <v>726456</v>
      </c>
      <c r="E582" s="1268"/>
      <c r="F582" s="1269"/>
      <c r="G582" s="1269"/>
      <c r="H582" s="1269"/>
      <c r="I582" s="1270"/>
      <c r="J582" s="1270"/>
      <c r="K582" s="1270"/>
      <c r="L582" s="1271"/>
      <c r="M582" s="750">
        <f t="shared" si="16"/>
        <v>726456</v>
      </c>
    </row>
    <row r="583" spans="1:13" ht="20.25" hidden="1" x14ac:dyDescent="0.25">
      <c r="A583" s="751" t="s">
        <v>543</v>
      </c>
      <c r="B583" s="748"/>
      <c r="C583" s="745" t="s">
        <v>1085</v>
      </c>
      <c r="D583" s="928"/>
      <c r="E583" s="1268"/>
      <c r="F583" s="1269"/>
      <c r="G583" s="1269"/>
      <c r="H583" s="1269"/>
      <c r="I583" s="1270"/>
      <c r="J583" s="1270"/>
      <c r="K583" s="1270"/>
      <c r="L583" s="1271"/>
      <c r="M583" s="750">
        <f t="shared" ref="M583:M646" si="17">SUM(D583:H583)</f>
        <v>0</v>
      </c>
    </row>
    <row r="584" spans="1:13" ht="20.25" hidden="1" x14ac:dyDescent="0.25">
      <c r="A584" s="751" t="s">
        <v>544</v>
      </c>
      <c r="B584" s="748"/>
      <c r="C584" s="745" t="s">
        <v>1086</v>
      </c>
      <c r="D584" s="928"/>
      <c r="E584" s="1268"/>
      <c r="F584" s="1269"/>
      <c r="G584" s="1269"/>
      <c r="H584" s="1269"/>
      <c r="I584" s="1270"/>
      <c r="J584" s="1270"/>
      <c r="K584" s="1270"/>
      <c r="L584" s="1271"/>
      <c r="M584" s="750">
        <f t="shared" si="17"/>
        <v>0</v>
      </c>
    </row>
    <row r="585" spans="1:13" ht="20.25" x14ac:dyDescent="0.25">
      <c r="A585" s="751" t="s">
        <v>545</v>
      </c>
      <c r="B585" s="748"/>
      <c r="C585" s="745" t="s">
        <v>1087</v>
      </c>
      <c r="D585" s="928">
        <f>726456+25432</f>
        <v>751888</v>
      </c>
      <c r="E585" s="1268"/>
      <c r="F585" s="1269"/>
      <c r="G585" s="1269"/>
      <c r="H585" s="1269"/>
      <c r="I585" s="1270"/>
      <c r="J585" s="1270"/>
      <c r="K585" s="1270"/>
      <c r="L585" s="1271"/>
      <c r="M585" s="750">
        <f t="shared" si="17"/>
        <v>751888</v>
      </c>
    </row>
    <row r="586" spans="1:13" ht="20.25" hidden="1" x14ac:dyDescent="0.25">
      <c r="A586" s="751" t="s">
        <v>546</v>
      </c>
      <c r="B586" s="748"/>
      <c r="C586" s="745" t="s">
        <v>1088</v>
      </c>
      <c r="D586" s="928"/>
      <c r="E586" s="1268"/>
      <c r="F586" s="1269"/>
      <c r="G586" s="1269"/>
      <c r="H586" s="1269"/>
      <c r="I586" s="1270"/>
      <c r="J586" s="1270"/>
      <c r="K586" s="1270"/>
      <c r="L586" s="1271"/>
      <c r="M586" s="750">
        <f t="shared" si="17"/>
        <v>0</v>
      </c>
    </row>
    <row r="587" spans="1:13" ht="20.25" hidden="1" x14ac:dyDescent="0.25">
      <c r="A587" s="751" t="s">
        <v>547</v>
      </c>
      <c r="B587" s="748"/>
      <c r="C587" s="745" t="s">
        <v>1089</v>
      </c>
      <c r="D587" s="928"/>
      <c r="E587" s="1268"/>
      <c r="F587" s="1269"/>
      <c r="G587" s="1269"/>
      <c r="H587" s="1269"/>
      <c r="I587" s="1270"/>
      <c r="J587" s="1270"/>
      <c r="K587" s="1270"/>
      <c r="L587" s="1271"/>
      <c r="M587" s="750">
        <f t="shared" si="17"/>
        <v>0</v>
      </c>
    </row>
    <row r="588" spans="1:13" ht="20.25" hidden="1" x14ac:dyDescent="0.25">
      <c r="A588" s="751" t="s">
        <v>548</v>
      </c>
      <c r="B588" s="748"/>
      <c r="C588" s="745" t="s">
        <v>1090</v>
      </c>
      <c r="D588" s="928"/>
      <c r="E588" s="1268"/>
      <c r="F588" s="1269"/>
      <c r="G588" s="1269"/>
      <c r="H588" s="1269"/>
      <c r="I588" s="1270"/>
      <c r="J588" s="1270"/>
      <c r="K588" s="1270"/>
      <c r="L588" s="1271"/>
      <c r="M588" s="750">
        <f t="shared" si="17"/>
        <v>0</v>
      </c>
    </row>
    <row r="589" spans="1:13" ht="20.25" hidden="1" x14ac:dyDescent="0.25">
      <c r="A589" s="751" t="s">
        <v>549</v>
      </c>
      <c r="B589" s="748"/>
      <c r="C589" s="745" t="s">
        <v>1091</v>
      </c>
      <c r="D589" s="928"/>
      <c r="E589" s="1268"/>
      <c r="F589" s="1269"/>
      <c r="G589" s="1269"/>
      <c r="H589" s="1269"/>
      <c r="I589" s="1270"/>
      <c r="J589" s="1270"/>
      <c r="K589" s="1270"/>
      <c r="L589" s="1271"/>
      <c r="M589" s="750">
        <f t="shared" si="17"/>
        <v>0</v>
      </c>
    </row>
    <row r="590" spans="1:13" ht="20.25" hidden="1" x14ac:dyDescent="0.25">
      <c r="A590" s="751" t="s">
        <v>550</v>
      </c>
      <c r="B590" s="748"/>
      <c r="C590" s="745" t="s">
        <v>1092</v>
      </c>
      <c r="D590" s="928"/>
      <c r="E590" s="1268"/>
      <c r="F590" s="1269"/>
      <c r="G590" s="1269"/>
      <c r="H590" s="1269"/>
      <c r="I590" s="1270"/>
      <c r="J590" s="1270"/>
      <c r="K590" s="1270"/>
      <c r="L590" s="1271"/>
      <c r="M590" s="750">
        <f t="shared" si="17"/>
        <v>0</v>
      </c>
    </row>
    <row r="591" spans="1:13" ht="20.25" hidden="1" x14ac:dyDescent="0.25">
      <c r="A591" s="751" t="s">
        <v>551</v>
      </c>
      <c r="B591" s="748"/>
      <c r="C591" s="745" t="s">
        <v>1093</v>
      </c>
      <c r="D591" s="928"/>
      <c r="E591" s="1268"/>
      <c r="F591" s="1269"/>
      <c r="G591" s="1269"/>
      <c r="H591" s="1269"/>
      <c r="I591" s="1270"/>
      <c r="J591" s="1270"/>
      <c r="K591" s="1270"/>
      <c r="L591" s="1271"/>
      <c r="M591" s="750">
        <f t="shared" si="17"/>
        <v>0</v>
      </c>
    </row>
    <row r="592" spans="1:13" ht="20.25" hidden="1" x14ac:dyDescent="0.25">
      <c r="A592" s="751" t="s">
        <v>552</v>
      </c>
      <c r="B592" s="748"/>
      <c r="C592" s="745" t="s">
        <v>1094</v>
      </c>
      <c r="D592" s="928"/>
      <c r="E592" s="1268"/>
      <c r="F592" s="1269"/>
      <c r="G592" s="1269"/>
      <c r="H592" s="1269"/>
      <c r="I592" s="1270"/>
      <c r="J592" s="1270"/>
      <c r="K592" s="1270"/>
      <c r="L592" s="1271"/>
      <c r="M592" s="750">
        <f t="shared" si="17"/>
        <v>0</v>
      </c>
    </row>
    <row r="593" spans="1:13" ht="20.25" x14ac:dyDescent="0.25">
      <c r="A593" s="751" t="s">
        <v>553</v>
      </c>
      <c r="B593" s="748"/>
      <c r="C593" s="745" t="s">
        <v>1095</v>
      </c>
      <c r="D593" s="926">
        <v>726456</v>
      </c>
      <c r="E593" s="1268"/>
      <c r="F593" s="1269"/>
      <c r="G593" s="1269"/>
      <c r="H593" s="1269"/>
      <c r="I593" s="1270"/>
      <c r="J593" s="1270"/>
      <c r="K593" s="1270"/>
      <c r="L593" s="1271"/>
      <c r="M593" s="750">
        <f t="shared" si="17"/>
        <v>726456</v>
      </c>
    </row>
    <row r="594" spans="1:13" ht="20.25" x14ac:dyDescent="0.25">
      <c r="A594" s="751" t="s">
        <v>554</v>
      </c>
      <c r="B594" s="748"/>
      <c r="C594" s="745" t="s">
        <v>1096</v>
      </c>
      <c r="D594" s="926">
        <f>1329512+46544</f>
        <v>1376056</v>
      </c>
      <c r="E594" s="1268"/>
      <c r="F594" s="1269"/>
      <c r="G594" s="1269"/>
      <c r="H594" s="1269"/>
      <c r="I594" s="1270"/>
      <c r="J594" s="1270"/>
      <c r="K594" s="1270"/>
      <c r="L594" s="1271"/>
      <c r="M594" s="750">
        <f t="shared" si="17"/>
        <v>1376056</v>
      </c>
    </row>
    <row r="595" spans="1:13" ht="20.25" hidden="1" x14ac:dyDescent="0.25">
      <c r="A595" s="751" t="s">
        <v>555</v>
      </c>
      <c r="B595" s="748"/>
      <c r="C595" s="745" t="s">
        <v>1097</v>
      </c>
      <c r="D595" s="928"/>
      <c r="E595" s="1268"/>
      <c r="F595" s="1269"/>
      <c r="G595" s="1269"/>
      <c r="H595" s="1269"/>
      <c r="I595" s="1270"/>
      <c r="J595" s="1270"/>
      <c r="K595" s="1270"/>
      <c r="L595" s="1271"/>
      <c r="M595" s="750">
        <f t="shared" si="17"/>
        <v>0</v>
      </c>
    </row>
    <row r="596" spans="1:13" ht="20.25" x14ac:dyDescent="0.25">
      <c r="A596" s="751" t="s">
        <v>556</v>
      </c>
      <c r="B596" s="748"/>
      <c r="C596" s="745" t="s">
        <v>1098</v>
      </c>
      <c r="D596" s="926">
        <f>21251+1211508</f>
        <v>1232759</v>
      </c>
      <c r="E596" s="1268"/>
      <c r="F596" s="1269"/>
      <c r="G596" s="1269"/>
      <c r="H596" s="1269"/>
      <c r="I596" s="1270"/>
      <c r="J596" s="1270"/>
      <c r="K596" s="1270"/>
      <c r="L596" s="1271"/>
      <c r="M596" s="750">
        <f t="shared" si="17"/>
        <v>1232759</v>
      </c>
    </row>
    <row r="597" spans="1:13" ht="20.25" hidden="1" x14ac:dyDescent="0.25">
      <c r="A597" s="751" t="s">
        <v>557</v>
      </c>
      <c r="B597" s="748"/>
      <c r="C597" s="745" t="s">
        <v>1099</v>
      </c>
      <c r="D597" s="928"/>
      <c r="E597" s="1268"/>
      <c r="F597" s="1269"/>
      <c r="G597" s="1269"/>
      <c r="H597" s="1269"/>
      <c r="I597" s="1270"/>
      <c r="J597" s="1270"/>
      <c r="K597" s="1270"/>
      <c r="L597" s="1271"/>
      <c r="M597" s="750">
        <f t="shared" si="17"/>
        <v>0</v>
      </c>
    </row>
    <row r="598" spans="1:13" ht="20.25" x14ac:dyDescent="0.25">
      <c r="A598" s="751" t="s">
        <v>558</v>
      </c>
      <c r="B598" s="748"/>
      <c r="C598" s="745" t="s">
        <v>1100</v>
      </c>
      <c r="D598" s="926">
        <f>726456+25432</f>
        <v>751888</v>
      </c>
      <c r="E598" s="1268"/>
      <c r="F598" s="1269"/>
      <c r="G598" s="1269"/>
      <c r="H598" s="1269"/>
      <c r="I598" s="1270"/>
      <c r="J598" s="1270"/>
      <c r="K598" s="1270"/>
      <c r="L598" s="1271"/>
      <c r="M598" s="750">
        <f t="shared" si="17"/>
        <v>751888</v>
      </c>
    </row>
    <row r="599" spans="1:13" ht="20.25" hidden="1" x14ac:dyDescent="0.25">
      <c r="A599" s="751" t="s">
        <v>559</v>
      </c>
      <c r="B599" s="748"/>
      <c r="C599" s="745" t="s">
        <v>1101</v>
      </c>
      <c r="D599" s="928"/>
      <c r="E599" s="1268"/>
      <c r="F599" s="1269"/>
      <c r="G599" s="1269"/>
      <c r="H599" s="1269"/>
      <c r="I599" s="1270"/>
      <c r="J599" s="1270"/>
      <c r="K599" s="1270"/>
      <c r="L599" s="1271"/>
      <c r="M599" s="750">
        <f t="shared" si="17"/>
        <v>0</v>
      </c>
    </row>
    <row r="600" spans="1:13" ht="20.25" hidden="1" x14ac:dyDescent="0.25">
      <c r="A600" s="751" t="s">
        <v>560</v>
      </c>
      <c r="B600" s="748"/>
      <c r="C600" s="745" t="s">
        <v>1102</v>
      </c>
      <c r="D600" s="928"/>
      <c r="E600" s="1268"/>
      <c r="F600" s="1269"/>
      <c r="G600" s="1269"/>
      <c r="H600" s="1269"/>
      <c r="I600" s="1270"/>
      <c r="J600" s="1270"/>
      <c r="K600" s="1270"/>
      <c r="L600" s="1271"/>
      <c r="M600" s="750">
        <f t="shared" si="17"/>
        <v>0</v>
      </c>
    </row>
    <row r="601" spans="1:13" ht="20.25" hidden="1" x14ac:dyDescent="0.25">
      <c r="A601" s="751" t="s">
        <v>561</v>
      </c>
      <c r="B601" s="748"/>
      <c r="C601" s="745" t="s">
        <v>1103</v>
      </c>
      <c r="D601" s="928"/>
      <c r="E601" s="1268"/>
      <c r="F601" s="1269"/>
      <c r="G601" s="1269"/>
      <c r="H601" s="1269"/>
      <c r="I601" s="1270"/>
      <c r="J601" s="1270"/>
      <c r="K601" s="1270"/>
      <c r="L601" s="1271"/>
      <c r="M601" s="750">
        <f t="shared" si="17"/>
        <v>0</v>
      </c>
    </row>
    <row r="602" spans="1:13" ht="20.25" hidden="1" x14ac:dyDescent="0.25">
      <c r="A602" s="751" t="s">
        <v>562</v>
      </c>
      <c r="B602" s="748"/>
      <c r="C602" s="745" t="s">
        <v>1104</v>
      </c>
      <c r="D602" s="928"/>
      <c r="E602" s="1268"/>
      <c r="F602" s="1269"/>
      <c r="G602" s="1269"/>
      <c r="H602" s="1269"/>
      <c r="I602" s="1270"/>
      <c r="J602" s="1270"/>
      <c r="K602" s="1270"/>
      <c r="L602" s="1271"/>
      <c r="M602" s="750">
        <f t="shared" si="17"/>
        <v>0</v>
      </c>
    </row>
    <row r="603" spans="1:13" ht="20.25" hidden="1" x14ac:dyDescent="0.25">
      <c r="A603" s="751" t="s">
        <v>563</v>
      </c>
      <c r="B603" s="748"/>
      <c r="C603" s="745" t="s">
        <v>1105</v>
      </c>
      <c r="D603" s="928"/>
      <c r="E603" s="1268"/>
      <c r="F603" s="1269"/>
      <c r="G603" s="1269"/>
      <c r="H603" s="1269"/>
      <c r="I603" s="1270"/>
      <c r="J603" s="1270"/>
      <c r="K603" s="1270"/>
      <c r="L603" s="1271"/>
      <c r="M603" s="750">
        <f t="shared" si="17"/>
        <v>0</v>
      </c>
    </row>
    <row r="604" spans="1:13" ht="20.25" hidden="1" x14ac:dyDescent="0.25">
      <c r="A604" s="751" t="s">
        <v>564</v>
      </c>
      <c r="B604" s="748"/>
      <c r="C604" s="745" t="s">
        <v>1106</v>
      </c>
      <c r="D604" s="928"/>
      <c r="E604" s="1268"/>
      <c r="F604" s="1269"/>
      <c r="G604" s="1269"/>
      <c r="H604" s="1269"/>
      <c r="I604" s="1270"/>
      <c r="J604" s="1270"/>
      <c r="K604" s="1270"/>
      <c r="L604" s="1271"/>
      <c r="M604" s="750">
        <f t="shared" si="17"/>
        <v>0</v>
      </c>
    </row>
    <row r="605" spans="1:13" ht="20.25" hidden="1" x14ac:dyDescent="0.25">
      <c r="A605" s="751" t="s">
        <v>565</v>
      </c>
      <c r="B605" s="748"/>
      <c r="C605" s="745" t="s">
        <v>1107</v>
      </c>
      <c r="D605" s="928"/>
      <c r="E605" s="1268"/>
      <c r="F605" s="1269"/>
      <c r="G605" s="1269"/>
      <c r="H605" s="1269"/>
      <c r="I605" s="1270"/>
      <c r="J605" s="1270"/>
      <c r="K605" s="1270"/>
      <c r="L605" s="1271"/>
      <c r="M605" s="750">
        <f t="shared" si="17"/>
        <v>0</v>
      </c>
    </row>
    <row r="606" spans="1:13" ht="20.25" hidden="1" x14ac:dyDescent="0.25">
      <c r="A606" s="751" t="s">
        <v>566</v>
      </c>
      <c r="B606" s="748"/>
      <c r="C606" s="745" t="s">
        <v>1108</v>
      </c>
      <c r="D606" s="928"/>
      <c r="E606" s="1268"/>
      <c r="F606" s="1269"/>
      <c r="G606" s="1269"/>
      <c r="H606" s="1269"/>
      <c r="I606" s="1270"/>
      <c r="J606" s="1270"/>
      <c r="K606" s="1270"/>
      <c r="L606" s="1271"/>
      <c r="M606" s="750">
        <f t="shared" si="17"/>
        <v>0</v>
      </c>
    </row>
    <row r="607" spans="1:13" ht="20.25" hidden="1" x14ac:dyDescent="0.25">
      <c r="A607" s="751" t="s">
        <v>567</v>
      </c>
      <c r="B607" s="748"/>
      <c r="C607" s="745" t="s">
        <v>1109</v>
      </c>
      <c r="D607" s="928"/>
      <c r="E607" s="1268"/>
      <c r="F607" s="1269"/>
      <c r="G607" s="1269"/>
      <c r="H607" s="1269"/>
      <c r="I607" s="1270"/>
      <c r="J607" s="1270"/>
      <c r="K607" s="1270"/>
      <c r="L607" s="1271"/>
      <c r="M607" s="750">
        <f t="shared" si="17"/>
        <v>0</v>
      </c>
    </row>
    <row r="608" spans="1:13" ht="20.25" hidden="1" x14ac:dyDescent="0.25">
      <c r="A608" s="751" t="s">
        <v>780</v>
      </c>
      <c r="B608" s="748"/>
      <c r="C608" s="745" t="s">
        <v>1110</v>
      </c>
      <c r="D608" s="928"/>
      <c r="E608" s="1268"/>
      <c r="F608" s="1269"/>
      <c r="G608" s="1269"/>
      <c r="H608" s="1269"/>
      <c r="I608" s="1270"/>
      <c r="J608" s="1270"/>
      <c r="K608" s="1270"/>
      <c r="L608" s="1271"/>
      <c r="M608" s="750">
        <f t="shared" si="17"/>
        <v>0</v>
      </c>
    </row>
    <row r="609" spans="1:13" ht="20.25" hidden="1" x14ac:dyDescent="0.25">
      <c r="A609" s="751" t="s">
        <v>781</v>
      </c>
      <c r="B609" s="748"/>
      <c r="C609" s="745" t="s">
        <v>1111</v>
      </c>
      <c r="D609" s="928"/>
      <c r="E609" s="1268"/>
      <c r="F609" s="1269"/>
      <c r="G609" s="1269"/>
      <c r="H609" s="1269"/>
      <c r="I609" s="1270"/>
      <c r="J609" s="1270"/>
      <c r="K609" s="1270"/>
      <c r="L609" s="1271"/>
      <c r="M609" s="750">
        <f t="shared" si="17"/>
        <v>0</v>
      </c>
    </row>
    <row r="610" spans="1:13" ht="20.25" hidden="1" x14ac:dyDescent="0.25">
      <c r="A610" s="751" t="s">
        <v>782</v>
      </c>
      <c r="B610" s="748"/>
      <c r="C610" s="745" t="s">
        <v>1112</v>
      </c>
      <c r="D610" s="928"/>
      <c r="E610" s="1268"/>
      <c r="F610" s="1269"/>
      <c r="G610" s="1269"/>
      <c r="H610" s="1269"/>
      <c r="I610" s="1270"/>
      <c r="J610" s="1270"/>
      <c r="K610" s="1270"/>
      <c r="L610" s="1271"/>
      <c r="M610" s="750">
        <f t="shared" si="17"/>
        <v>0</v>
      </c>
    </row>
    <row r="611" spans="1:13" ht="20.25" hidden="1" x14ac:dyDescent="0.25">
      <c r="A611" s="751" t="s">
        <v>783</v>
      </c>
      <c r="B611" s="748"/>
      <c r="C611" s="745" t="s">
        <v>1113</v>
      </c>
      <c r="D611" s="928"/>
      <c r="E611" s="1268"/>
      <c r="F611" s="1269"/>
      <c r="G611" s="1269"/>
      <c r="H611" s="1269"/>
      <c r="I611" s="1270"/>
      <c r="J611" s="1270"/>
      <c r="K611" s="1270"/>
      <c r="L611" s="1271"/>
      <c r="M611" s="750">
        <f t="shared" si="17"/>
        <v>0</v>
      </c>
    </row>
    <row r="612" spans="1:13" ht="20.25" hidden="1" x14ac:dyDescent="0.25">
      <c r="A612" s="751" t="s">
        <v>784</v>
      </c>
      <c r="B612" s="748"/>
      <c r="C612" s="745" t="s">
        <v>1114</v>
      </c>
      <c r="D612" s="928"/>
      <c r="E612" s="1268"/>
      <c r="F612" s="1269"/>
      <c r="G612" s="1269"/>
      <c r="H612" s="1269"/>
      <c r="I612" s="1270"/>
      <c r="J612" s="1270"/>
      <c r="K612" s="1270"/>
      <c r="L612" s="1271"/>
      <c r="M612" s="750">
        <f t="shared" si="17"/>
        <v>0</v>
      </c>
    </row>
    <row r="613" spans="1:13" ht="20.25" hidden="1" x14ac:dyDescent="0.25">
      <c r="A613" s="751" t="s">
        <v>785</v>
      </c>
      <c r="B613" s="748"/>
      <c r="C613" s="745" t="s">
        <v>1115</v>
      </c>
      <c r="D613" s="928"/>
      <c r="E613" s="1268"/>
      <c r="F613" s="1269"/>
      <c r="G613" s="1269"/>
      <c r="H613" s="1269"/>
      <c r="I613" s="1270"/>
      <c r="J613" s="1270"/>
      <c r="K613" s="1270"/>
      <c r="L613" s="1271"/>
      <c r="M613" s="750">
        <f t="shared" si="17"/>
        <v>0</v>
      </c>
    </row>
    <row r="614" spans="1:13" ht="20.25" x14ac:dyDescent="0.25">
      <c r="A614" s="751" t="s">
        <v>910</v>
      </c>
      <c r="B614" s="748"/>
      <c r="C614" s="745" t="s">
        <v>1116</v>
      </c>
      <c r="D614" s="926">
        <f>7025811+1978749</f>
        <v>9004560</v>
      </c>
      <c r="E614" s="1268"/>
      <c r="F614" s="1269"/>
      <c r="G614" s="1269"/>
      <c r="H614" s="1269"/>
      <c r="I614" s="1270"/>
      <c r="J614" s="1270"/>
      <c r="K614" s="1270"/>
      <c r="L614" s="1271"/>
      <c r="M614" s="750">
        <f t="shared" si="17"/>
        <v>9004560</v>
      </c>
    </row>
    <row r="615" spans="1:13" ht="20.25" x14ac:dyDescent="0.25">
      <c r="A615" s="751" t="s">
        <v>911</v>
      </c>
      <c r="B615" s="748"/>
      <c r="C615" s="745" t="s">
        <v>1117</v>
      </c>
      <c r="D615" s="926">
        <f>3393989+935825</f>
        <v>4329814</v>
      </c>
      <c r="E615" s="1268"/>
      <c r="F615" s="1269"/>
      <c r="G615" s="1269"/>
      <c r="H615" s="1269"/>
      <c r="I615" s="1270"/>
      <c r="J615" s="1270"/>
      <c r="K615" s="1270"/>
      <c r="L615" s="1271"/>
      <c r="M615" s="750">
        <f t="shared" si="17"/>
        <v>4329814</v>
      </c>
    </row>
    <row r="616" spans="1:13" ht="20.25" hidden="1" x14ac:dyDescent="0.25">
      <c r="A616" s="751" t="s">
        <v>1118</v>
      </c>
      <c r="B616" s="748"/>
      <c r="C616" s="745" t="s">
        <v>1119</v>
      </c>
      <c r="D616" s="928"/>
      <c r="E616" s="1268"/>
      <c r="F616" s="1269"/>
      <c r="G616" s="1269"/>
      <c r="H616" s="1269"/>
      <c r="I616" s="1270"/>
      <c r="J616" s="1270"/>
      <c r="K616" s="1270"/>
      <c r="L616" s="1271"/>
      <c r="M616" s="750">
        <f t="shared" si="17"/>
        <v>0</v>
      </c>
    </row>
    <row r="617" spans="1:13" ht="20.25" hidden="1" x14ac:dyDescent="0.25">
      <c r="A617" s="751" t="s">
        <v>1120</v>
      </c>
      <c r="B617" s="748"/>
      <c r="C617" s="745" t="s">
        <v>1121</v>
      </c>
      <c r="D617" s="928"/>
      <c r="E617" s="1268"/>
      <c r="F617" s="1269"/>
      <c r="G617" s="1269"/>
      <c r="H617" s="1269"/>
      <c r="I617" s="1270"/>
      <c r="J617" s="1270"/>
      <c r="K617" s="1270"/>
      <c r="L617" s="1271"/>
      <c r="M617" s="750">
        <f t="shared" si="17"/>
        <v>0</v>
      </c>
    </row>
    <row r="618" spans="1:13" ht="20.25" hidden="1" x14ac:dyDescent="0.25">
      <c r="A618" s="751" t="s">
        <v>1122</v>
      </c>
      <c r="B618" s="748"/>
      <c r="C618" s="745" t="s">
        <v>1123</v>
      </c>
      <c r="D618" s="928"/>
      <c r="E618" s="1268"/>
      <c r="F618" s="1269"/>
      <c r="G618" s="1269"/>
      <c r="H618" s="1269"/>
      <c r="I618" s="1270"/>
      <c r="J618" s="1270"/>
      <c r="K618" s="1270"/>
      <c r="L618" s="1271"/>
      <c r="M618" s="750">
        <f t="shared" si="17"/>
        <v>0</v>
      </c>
    </row>
    <row r="619" spans="1:13" ht="20.25" hidden="1" x14ac:dyDescent="0.25">
      <c r="A619" s="751" t="s">
        <v>1124</v>
      </c>
      <c r="B619" s="748"/>
      <c r="C619" s="745" t="s">
        <v>1125</v>
      </c>
      <c r="D619" s="928"/>
      <c r="E619" s="1268"/>
      <c r="F619" s="1269"/>
      <c r="G619" s="1269"/>
      <c r="H619" s="1269"/>
      <c r="I619" s="1270"/>
      <c r="J619" s="1270"/>
      <c r="K619" s="1270"/>
      <c r="L619" s="1271"/>
      <c r="M619" s="750">
        <f t="shared" si="17"/>
        <v>0</v>
      </c>
    </row>
    <row r="620" spans="1:13" ht="20.25" x14ac:dyDescent="0.25">
      <c r="A620" s="751" t="s">
        <v>1126</v>
      </c>
      <c r="B620" s="748"/>
      <c r="C620" s="745" t="s">
        <v>1127</v>
      </c>
      <c r="D620" s="926">
        <v>2154050</v>
      </c>
      <c r="E620" s="1268"/>
      <c r="F620" s="1269"/>
      <c r="G620" s="1269"/>
      <c r="H620" s="1269"/>
      <c r="I620" s="1270"/>
      <c r="J620" s="1270"/>
      <c r="K620" s="1270"/>
      <c r="L620" s="1271"/>
      <c r="M620" s="750">
        <f t="shared" si="17"/>
        <v>2154050</v>
      </c>
    </row>
    <row r="621" spans="1:13" ht="20.25" hidden="1" x14ac:dyDescent="0.25">
      <c r="A621" s="751" t="s">
        <v>1128</v>
      </c>
      <c r="B621" s="748"/>
      <c r="C621" s="745" t="s">
        <v>1129</v>
      </c>
      <c r="D621" s="928"/>
      <c r="E621" s="1268"/>
      <c r="F621" s="1269"/>
      <c r="G621" s="1269"/>
      <c r="H621" s="1269"/>
      <c r="I621" s="1270"/>
      <c r="J621" s="1270"/>
      <c r="K621" s="1270"/>
      <c r="L621" s="1271"/>
      <c r="M621" s="750">
        <f t="shared" si="17"/>
        <v>0</v>
      </c>
    </row>
    <row r="622" spans="1:13" ht="20.25" hidden="1" x14ac:dyDescent="0.25">
      <c r="A622" s="751" t="s">
        <v>1130</v>
      </c>
      <c r="B622" s="748"/>
      <c r="C622" s="745" t="s">
        <v>1131</v>
      </c>
      <c r="D622" s="928"/>
      <c r="E622" s="1268"/>
      <c r="F622" s="1269"/>
      <c r="G622" s="1269"/>
      <c r="H622" s="1269"/>
      <c r="I622" s="1270"/>
      <c r="J622" s="1270"/>
      <c r="K622" s="1270"/>
      <c r="L622" s="1271"/>
      <c r="M622" s="750">
        <f t="shared" si="17"/>
        <v>0</v>
      </c>
    </row>
    <row r="623" spans="1:13" ht="20.25" hidden="1" x14ac:dyDescent="0.25">
      <c r="A623" s="751" t="s">
        <v>1132</v>
      </c>
      <c r="B623" s="748"/>
      <c r="C623" s="745" t="s">
        <v>1133</v>
      </c>
      <c r="D623" s="928"/>
      <c r="E623" s="1268"/>
      <c r="F623" s="1269"/>
      <c r="G623" s="1269"/>
      <c r="H623" s="1269"/>
      <c r="I623" s="1270"/>
      <c r="J623" s="1270"/>
      <c r="K623" s="1270"/>
      <c r="L623" s="1271"/>
      <c r="M623" s="750">
        <f t="shared" si="17"/>
        <v>0</v>
      </c>
    </row>
    <row r="624" spans="1:13" ht="20.25" hidden="1" x14ac:dyDescent="0.25">
      <c r="A624" s="751" t="s">
        <v>1134</v>
      </c>
      <c r="B624" s="748"/>
      <c r="C624" s="745" t="s">
        <v>1135</v>
      </c>
      <c r="D624" s="928"/>
      <c r="E624" s="1268"/>
      <c r="F624" s="1269"/>
      <c r="G624" s="1269"/>
      <c r="H624" s="1269"/>
      <c r="I624" s="1270"/>
      <c r="J624" s="1270"/>
      <c r="K624" s="1270"/>
      <c r="L624" s="1271"/>
      <c r="M624" s="750">
        <f t="shared" si="17"/>
        <v>0</v>
      </c>
    </row>
    <row r="625" spans="1:14" ht="20.25" hidden="1" x14ac:dyDescent="0.25">
      <c r="A625" s="751" t="s">
        <v>1136</v>
      </c>
      <c r="B625" s="748"/>
      <c r="C625" s="745" t="s">
        <v>1137</v>
      </c>
      <c r="D625" s="926">
        <f>1237279-1237279</f>
        <v>0</v>
      </c>
      <c r="E625" s="1268"/>
      <c r="F625" s="1269"/>
      <c r="G625" s="1269"/>
      <c r="H625" s="1269"/>
      <c r="I625" s="1270"/>
      <c r="J625" s="1270"/>
      <c r="K625" s="1270"/>
      <c r="L625" s="1271"/>
      <c r="M625" s="750">
        <f t="shared" si="17"/>
        <v>0</v>
      </c>
    </row>
    <row r="626" spans="1:14" ht="20.25" hidden="1" x14ac:dyDescent="0.25">
      <c r="A626" s="751" t="s">
        <v>1138</v>
      </c>
      <c r="B626" s="748"/>
      <c r="C626" s="745" t="s">
        <v>1139</v>
      </c>
      <c r="D626" s="928"/>
      <c r="E626" s="1268"/>
      <c r="F626" s="1269"/>
      <c r="G626" s="1269"/>
      <c r="H626" s="1269"/>
      <c r="I626" s="1270"/>
      <c r="J626" s="1270"/>
      <c r="K626" s="1270"/>
      <c r="L626" s="1271"/>
      <c r="M626" s="750">
        <f t="shared" si="17"/>
        <v>0</v>
      </c>
    </row>
    <row r="627" spans="1:14" ht="20.25" hidden="1" x14ac:dyDescent="0.25">
      <c r="A627" s="751" t="s">
        <v>1140</v>
      </c>
      <c r="B627" s="748"/>
      <c r="C627" s="745" t="s">
        <v>1141</v>
      </c>
      <c r="D627" s="928"/>
      <c r="E627" s="1268"/>
      <c r="F627" s="1269"/>
      <c r="G627" s="1269"/>
      <c r="H627" s="1269"/>
      <c r="I627" s="1270"/>
      <c r="J627" s="1270"/>
      <c r="K627" s="1270"/>
      <c r="L627" s="1271"/>
      <c r="M627" s="750">
        <f t="shared" si="17"/>
        <v>0</v>
      </c>
    </row>
    <row r="628" spans="1:14" ht="20.25" hidden="1" x14ac:dyDescent="0.25">
      <c r="A628" s="751" t="s">
        <v>1142</v>
      </c>
      <c r="B628" s="748"/>
      <c r="C628" s="745" t="s">
        <v>1143</v>
      </c>
      <c r="D628" s="928"/>
      <c r="E628" s="1268"/>
      <c r="F628" s="1269"/>
      <c r="G628" s="1269"/>
      <c r="H628" s="1269"/>
      <c r="I628" s="1270"/>
      <c r="J628" s="1270"/>
      <c r="K628" s="1270"/>
      <c r="L628" s="1271"/>
      <c r="M628" s="750">
        <f t="shared" si="17"/>
        <v>0</v>
      </c>
    </row>
    <row r="629" spans="1:14" ht="20.25" hidden="1" x14ac:dyDescent="0.25">
      <c r="A629" s="751" t="s">
        <v>1144</v>
      </c>
      <c r="B629" s="748"/>
      <c r="C629" s="745" t="s">
        <v>1145</v>
      </c>
      <c r="D629" s="928"/>
      <c r="E629" s="1268"/>
      <c r="F629" s="1269"/>
      <c r="G629" s="1269"/>
      <c r="H629" s="1269"/>
      <c r="I629" s="1270"/>
      <c r="J629" s="1270"/>
      <c r="K629" s="1270"/>
      <c r="L629" s="1271"/>
      <c r="M629" s="750">
        <f t="shared" si="17"/>
        <v>0</v>
      </c>
    </row>
    <row r="630" spans="1:14" ht="20.25" hidden="1" x14ac:dyDescent="0.25">
      <c r="A630" s="751" t="s">
        <v>1146</v>
      </c>
      <c r="B630" s="748"/>
      <c r="C630" s="745" t="s">
        <v>1147</v>
      </c>
      <c r="D630" s="928"/>
      <c r="E630" s="1268"/>
      <c r="F630" s="1269"/>
      <c r="G630" s="1269"/>
      <c r="H630" s="1269"/>
      <c r="I630" s="1270"/>
      <c r="J630" s="1270"/>
      <c r="K630" s="1270"/>
      <c r="L630" s="1271"/>
      <c r="M630" s="750">
        <f t="shared" si="17"/>
        <v>0</v>
      </c>
    </row>
    <row r="631" spans="1:14" ht="20.25" hidden="1" x14ac:dyDescent="0.25">
      <c r="A631" s="751" t="s">
        <v>1148</v>
      </c>
      <c r="B631" s="748"/>
      <c r="C631" s="745" t="s">
        <v>1149</v>
      </c>
      <c r="D631" s="928"/>
      <c r="E631" s="1268"/>
      <c r="F631" s="1269"/>
      <c r="G631" s="1269"/>
      <c r="H631" s="1269"/>
      <c r="I631" s="1270"/>
      <c r="J631" s="1270"/>
      <c r="K631" s="1270"/>
      <c r="L631" s="1271"/>
      <c r="M631" s="750">
        <f t="shared" si="17"/>
        <v>0</v>
      </c>
    </row>
    <row r="632" spans="1:14" ht="20.25" x14ac:dyDescent="0.25">
      <c r="A632" s="748"/>
      <c r="B632" s="748"/>
      <c r="C632" s="85" t="s">
        <v>168</v>
      </c>
      <c r="D632" s="926">
        <f>703+726456-726456+42417</f>
        <v>43120</v>
      </c>
      <c r="E632" s="1268"/>
      <c r="F632" s="1269"/>
      <c r="G632" s="1269"/>
      <c r="H632" s="1269"/>
      <c r="I632" s="1270"/>
      <c r="J632" s="1270"/>
      <c r="K632" s="1270"/>
      <c r="L632" s="1271"/>
      <c r="M632" s="750">
        <f t="shared" si="17"/>
        <v>43120</v>
      </c>
    </row>
    <row r="633" spans="1:14" ht="333.6" customHeight="1" x14ac:dyDescent="0.25">
      <c r="A633" s="1327" t="s">
        <v>720</v>
      </c>
      <c r="B633" s="1328">
        <v>9242</v>
      </c>
      <c r="C633" s="1349" t="s">
        <v>1867</v>
      </c>
      <c r="D633" s="1314">
        <f>SUM(D634:D700)</f>
        <v>1328900</v>
      </c>
      <c r="E633" s="1315"/>
      <c r="F633" s="1257"/>
      <c r="G633" s="1257"/>
      <c r="H633" s="1257"/>
      <c r="I633" s="1195"/>
      <c r="J633" s="1195"/>
      <c r="K633" s="1195"/>
      <c r="L633" s="1196"/>
      <c r="M633" s="750">
        <f t="shared" si="17"/>
        <v>1328900</v>
      </c>
      <c r="N633" s="508">
        <f>дод3!E147</f>
        <v>1328900</v>
      </c>
    </row>
    <row r="634" spans="1:14" ht="20.25" hidden="1" x14ac:dyDescent="0.25">
      <c r="A634" s="751" t="s">
        <v>526</v>
      </c>
      <c r="B634" s="748"/>
      <c r="C634" s="745" t="s">
        <v>1060</v>
      </c>
      <c r="D634" s="928"/>
      <c r="E634" s="1268"/>
      <c r="F634" s="1269"/>
      <c r="G634" s="1269"/>
      <c r="H634" s="1269"/>
      <c r="I634" s="1270"/>
      <c r="J634" s="1270"/>
      <c r="K634" s="1270"/>
      <c r="L634" s="1271"/>
      <c r="M634" s="750">
        <f t="shared" si="17"/>
        <v>0</v>
      </c>
    </row>
    <row r="635" spans="1:14" ht="20.25" hidden="1" x14ac:dyDescent="0.25">
      <c r="A635" s="751" t="s">
        <v>527</v>
      </c>
      <c r="B635" s="748"/>
      <c r="C635" s="745" t="s">
        <v>1069</v>
      </c>
      <c r="D635" s="928"/>
      <c r="E635" s="1268"/>
      <c r="F635" s="1269"/>
      <c r="G635" s="1269"/>
      <c r="H635" s="1269"/>
      <c r="I635" s="1270"/>
      <c r="J635" s="1270"/>
      <c r="K635" s="1270"/>
      <c r="L635" s="1271"/>
      <c r="M635" s="750">
        <f t="shared" si="17"/>
        <v>0</v>
      </c>
    </row>
    <row r="636" spans="1:14" ht="20.25" hidden="1" x14ac:dyDescent="0.25">
      <c r="A636" s="751" t="s">
        <v>528</v>
      </c>
      <c r="B636" s="748"/>
      <c r="C636" s="745" t="s">
        <v>1070</v>
      </c>
      <c r="D636" s="928"/>
      <c r="E636" s="1268"/>
      <c r="F636" s="1269"/>
      <c r="G636" s="1269"/>
      <c r="H636" s="1269"/>
      <c r="I636" s="1270"/>
      <c r="J636" s="1270"/>
      <c r="K636" s="1270"/>
      <c r="L636" s="1271"/>
      <c r="M636" s="750">
        <f t="shared" si="17"/>
        <v>0</v>
      </c>
    </row>
    <row r="637" spans="1:14" ht="20.25" hidden="1" x14ac:dyDescent="0.25">
      <c r="A637" s="751" t="s">
        <v>529</v>
      </c>
      <c r="B637" s="748"/>
      <c r="C637" s="745" t="s">
        <v>1071</v>
      </c>
      <c r="D637" s="928"/>
      <c r="E637" s="1268"/>
      <c r="F637" s="1269"/>
      <c r="G637" s="1269"/>
      <c r="H637" s="1269"/>
      <c r="I637" s="1270"/>
      <c r="J637" s="1270"/>
      <c r="K637" s="1270"/>
      <c r="L637" s="1271"/>
      <c r="M637" s="750">
        <f t="shared" si="17"/>
        <v>0</v>
      </c>
    </row>
    <row r="638" spans="1:14" ht="20.25" hidden="1" x14ac:dyDescent="0.25">
      <c r="A638" s="751" t="s">
        <v>530</v>
      </c>
      <c r="B638" s="748"/>
      <c r="C638" s="745" t="s">
        <v>1072</v>
      </c>
      <c r="D638" s="928"/>
      <c r="E638" s="1268"/>
      <c r="F638" s="1269"/>
      <c r="G638" s="1269"/>
      <c r="H638" s="1269"/>
      <c r="I638" s="1270"/>
      <c r="J638" s="1270"/>
      <c r="K638" s="1270"/>
      <c r="L638" s="1271"/>
      <c r="M638" s="750">
        <f t="shared" si="17"/>
        <v>0</v>
      </c>
    </row>
    <row r="639" spans="1:14" ht="20.25" hidden="1" x14ac:dyDescent="0.25">
      <c r="A639" s="751" t="s">
        <v>531</v>
      </c>
      <c r="B639" s="748"/>
      <c r="C639" s="745" t="s">
        <v>1073</v>
      </c>
      <c r="D639" s="928"/>
      <c r="E639" s="1268"/>
      <c r="F639" s="1269"/>
      <c r="G639" s="1269"/>
      <c r="H639" s="1269"/>
      <c r="I639" s="1270"/>
      <c r="J639" s="1270"/>
      <c r="K639" s="1270"/>
      <c r="L639" s="1271"/>
      <c r="M639" s="750">
        <f t="shared" si="17"/>
        <v>0</v>
      </c>
    </row>
    <row r="640" spans="1:14" ht="20.25" hidden="1" x14ac:dyDescent="0.25">
      <c r="A640" s="751" t="s">
        <v>532</v>
      </c>
      <c r="B640" s="748"/>
      <c r="C640" s="745" t="s">
        <v>1074</v>
      </c>
      <c r="D640" s="928"/>
      <c r="E640" s="1268"/>
      <c r="F640" s="1269"/>
      <c r="G640" s="1269"/>
      <c r="H640" s="1269"/>
      <c r="I640" s="1270"/>
      <c r="J640" s="1270"/>
      <c r="K640" s="1270"/>
      <c r="L640" s="1271"/>
      <c r="M640" s="750">
        <f t="shared" si="17"/>
        <v>0</v>
      </c>
    </row>
    <row r="641" spans="1:13" ht="20.25" hidden="1" x14ac:dyDescent="0.25">
      <c r="A641" s="751" t="s">
        <v>533</v>
      </c>
      <c r="B641" s="748"/>
      <c r="C641" s="745" t="s">
        <v>1075</v>
      </c>
      <c r="D641" s="928"/>
      <c r="E641" s="1268"/>
      <c r="F641" s="1269"/>
      <c r="G641" s="1269"/>
      <c r="H641" s="1269"/>
      <c r="I641" s="1270"/>
      <c r="J641" s="1270"/>
      <c r="K641" s="1270"/>
      <c r="L641" s="1271"/>
      <c r="M641" s="750">
        <f t="shared" si="17"/>
        <v>0</v>
      </c>
    </row>
    <row r="642" spans="1:13" ht="20.25" hidden="1" x14ac:dyDescent="0.25">
      <c r="A642" s="751" t="s">
        <v>534</v>
      </c>
      <c r="B642" s="748"/>
      <c r="C642" s="745" t="s">
        <v>1076</v>
      </c>
      <c r="D642" s="928"/>
      <c r="E642" s="1268"/>
      <c r="F642" s="1269"/>
      <c r="G642" s="1269"/>
      <c r="H642" s="1269"/>
      <c r="I642" s="1270"/>
      <c r="J642" s="1270"/>
      <c r="K642" s="1270"/>
      <c r="L642" s="1271"/>
      <c r="M642" s="750">
        <f t="shared" si="17"/>
        <v>0</v>
      </c>
    </row>
    <row r="643" spans="1:13" ht="20.25" hidden="1" x14ac:dyDescent="0.25">
      <c r="A643" s="751" t="s">
        <v>535</v>
      </c>
      <c r="B643" s="748"/>
      <c r="C643" s="745" t="s">
        <v>1077</v>
      </c>
      <c r="D643" s="928"/>
      <c r="E643" s="1268"/>
      <c r="F643" s="1269"/>
      <c r="G643" s="1269"/>
      <c r="H643" s="1269"/>
      <c r="I643" s="1270"/>
      <c r="J643" s="1270"/>
      <c r="K643" s="1270"/>
      <c r="L643" s="1271"/>
      <c r="M643" s="750">
        <f t="shared" si="17"/>
        <v>0</v>
      </c>
    </row>
    <row r="644" spans="1:13" ht="20.25" hidden="1" x14ac:dyDescent="0.25">
      <c r="A644" s="751" t="s">
        <v>536</v>
      </c>
      <c r="B644" s="748"/>
      <c r="C644" s="745" t="s">
        <v>1078</v>
      </c>
      <c r="D644" s="928"/>
      <c r="E644" s="1268"/>
      <c r="F644" s="1269"/>
      <c r="G644" s="1269"/>
      <c r="H644" s="1269"/>
      <c r="I644" s="1270"/>
      <c r="J644" s="1270"/>
      <c r="K644" s="1270"/>
      <c r="L644" s="1271"/>
      <c r="M644" s="750">
        <f t="shared" si="17"/>
        <v>0</v>
      </c>
    </row>
    <row r="645" spans="1:13" ht="20.25" hidden="1" x14ac:dyDescent="0.25">
      <c r="A645" s="751" t="s">
        <v>537</v>
      </c>
      <c r="B645" s="748"/>
      <c r="C645" s="745" t="s">
        <v>1079</v>
      </c>
      <c r="D645" s="928"/>
      <c r="E645" s="1268"/>
      <c r="F645" s="1269"/>
      <c r="G645" s="1269"/>
      <c r="H645" s="1269"/>
      <c r="I645" s="1270"/>
      <c r="J645" s="1270"/>
      <c r="K645" s="1270"/>
      <c r="L645" s="1271"/>
      <c r="M645" s="750">
        <f t="shared" si="17"/>
        <v>0</v>
      </c>
    </row>
    <row r="646" spans="1:13" ht="20.25" hidden="1" x14ac:dyDescent="0.25">
      <c r="A646" s="751" t="s">
        <v>538</v>
      </c>
      <c r="B646" s="748"/>
      <c r="C646" s="745" t="s">
        <v>1080</v>
      </c>
      <c r="D646" s="928"/>
      <c r="E646" s="1268"/>
      <c r="F646" s="1269"/>
      <c r="G646" s="1269"/>
      <c r="H646" s="1269"/>
      <c r="I646" s="1270"/>
      <c r="J646" s="1270"/>
      <c r="K646" s="1270"/>
      <c r="L646" s="1271"/>
      <c r="M646" s="750">
        <f t="shared" si="17"/>
        <v>0</v>
      </c>
    </row>
    <row r="647" spans="1:13" ht="20.25" hidden="1" x14ac:dyDescent="0.25">
      <c r="A647" s="751" t="s">
        <v>539</v>
      </c>
      <c r="B647" s="748"/>
      <c r="C647" s="745" t="s">
        <v>1081</v>
      </c>
      <c r="D647" s="928"/>
      <c r="E647" s="1268"/>
      <c r="F647" s="1269"/>
      <c r="G647" s="1269"/>
      <c r="H647" s="1269"/>
      <c r="I647" s="1270"/>
      <c r="J647" s="1270"/>
      <c r="K647" s="1270"/>
      <c r="L647" s="1271"/>
      <c r="M647" s="750">
        <f t="shared" ref="M647:M710" si="18">SUM(D647:H647)</f>
        <v>0</v>
      </c>
    </row>
    <row r="648" spans="1:13" ht="20.25" hidden="1" x14ac:dyDescent="0.25">
      <c r="A648" s="751" t="s">
        <v>540</v>
      </c>
      <c r="B648" s="748"/>
      <c r="C648" s="745" t="s">
        <v>1082</v>
      </c>
      <c r="D648" s="928"/>
      <c r="E648" s="1268"/>
      <c r="F648" s="1269"/>
      <c r="G648" s="1269"/>
      <c r="H648" s="1269"/>
      <c r="I648" s="1270"/>
      <c r="J648" s="1270"/>
      <c r="K648" s="1270"/>
      <c r="L648" s="1271"/>
      <c r="M648" s="750">
        <f t="shared" si="18"/>
        <v>0</v>
      </c>
    </row>
    <row r="649" spans="1:13" ht="20.25" hidden="1" x14ac:dyDescent="0.25">
      <c r="A649" s="751" t="s">
        <v>541</v>
      </c>
      <c r="B649" s="748"/>
      <c r="C649" s="745" t="s">
        <v>1083</v>
      </c>
      <c r="D649" s="928"/>
      <c r="E649" s="1268"/>
      <c r="F649" s="1269"/>
      <c r="G649" s="1269"/>
      <c r="H649" s="1269"/>
      <c r="I649" s="1270"/>
      <c r="J649" s="1270"/>
      <c r="K649" s="1270"/>
      <c r="L649" s="1271"/>
      <c r="M649" s="750">
        <f t="shared" si="18"/>
        <v>0</v>
      </c>
    </row>
    <row r="650" spans="1:13" ht="20.25" hidden="1" x14ac:dyDescent="0.25">
      <c r="A650" s="751" t="s">
        <v>542</v>
      </c>
      <c r="B650" s="748"/>
      <c r="C650" s="745" t="s">
        <v>1084</v>
      </c>
      <c r="D650" s="928"/>
      <c r="E650" s="1268"/>
      <c r="F650" s="1269"/>
      <c r="G650" s="1269"/>
      <c r="H650" s="1269"/>
      <c r="I650" s="1270"/>
      <c r="J650" s="1270"/>
      <c r="K650" s="1270"/>
      <c r="L650" s="1271"/>
      <c r="M650" s="750">
        <f t="shared" si="18"/>
        <v>0</v>
      </c>
    </row>
    <row r="651" spans="1:13" ht="20.25" hidden="1" x14ac:dyDescent="0.25">
      <c r="A651" s="751" t="s">
        <v>543</v>
      </c>
      <c r="B651" s="748"/>
      <c r="C651" s="745" t="s">
        <v>1085</v>
      </c>
      <c r="D651" s="928"/>
      <c r="E651" s="1268"/>
      <c r="F651" s="1269"/>
      <c r="G651" s="1269"/>
      <c r="H651" s="1269"/>
      <c r="I651" s="1270"/>
      <c r="J651" s="1270"/>
      <c r="K651" s="1270"/>
      <c r="L651" s="1271"/>
      <c r="M651" s="750">
        <f t="shared" si="18"/>
        <v>0</v>
      </c>
    </row>
    <row r="652" spans="1:13" ht="20.25" hidden="1" x14ac:dyDescent="0.25">
      <c r="A652" s="751" t="s">
        <v>544</v>
      </c>
      <c r="B652" s="748"/>
      <c r="C652" s="745" t="s">
        <v>1086</v>
      </c>
      <c r="D652" s="928"/>
      <c r="E652" s="1268"/>
      <c r="F652" s="1269"/>
      <c r="G652" s="1269"/>
      <c r="H652" s="1269"/>
      <c r="I652" s="1270"/>
      <c r="J652" s="1270"/>
      <c r="K652" s="1270"/>
      <c r="L652" s="1271"/>
      <c r="M652" s="750">
        <f t="shared" si="18"/>
        <v>0</v>
      </c>
    </row>
    <row r="653" spans="1:13" ht="20.25" hidden="1" x14ac:dyDescent="0.25">
      <c r="A653" s="751" t="s">
        <v>545</v>
      </c>
      <c r="B653" s="748"/>
      <c r="C653" s="745" t="s">
        <v>1087</v>
      </c>
      <c r="D653" s="928"/>
      <c r="E653" s="1268"/>
      <c r="F653" s="1269"/>
      <c r="G653" s="1269"/>
      <c r="H653" s="1269"/>
      <c r="I653" s="1270"/>
      <c r="J653" s="1270"/>
      <c r="K653" s="1270"/>
      <c r="L653" s="1271"/>
      <c r="M653" s="750">
        <f t="shared" si="18"/>
        <v>0</v>
      </c>
    </row>
    <row r="654" spans="1:13" ht="20.25" hidden="1" x14ac:dyDescent="0.25">
      <c r="A654" s="751" t="s">
        <v>546</v>
      </c>
      <c r="B654" s="748"/>
      <c r="C654" s="745" t="s">
        <v>1088</v>
      </c>
      <c r="D654" s="928"/>
      <c r="E654" s="1268"/>
      <c r="F654" s="1269"/>
      <c r="G654" s="1269"/>
      <c r="H654" s="1269"/>
      <c r="I654" s="1270"/>
      <c r="J654" s="1270"/>
      <c r="K654" s="1270"/>
      <c r="L654" s="1271"/>
      <c r="M654" s="750">
        <f t="shared" si="18"/>
        <v>0</v>
      </c>
    </row>
    <row r="655" spans="1:13" ht="20.25" hidden="1" x14ac:dyDescent="0.25">
      <c r="A655" s="751" t="s">
        <v>547</v>
      </c>
      <c r="B655" s="748"/>
      <c r="C655" s="745" t="s">
        <v>1089</v>
      </c>
      <c r="D655" s="928"/>
      <c r="E655" s="1268"/>
      <c r="F655" s="1269"/>
      <c r="G655" s="1269"/>
      <c r="H655" s="1269"/>
      <c r="I655" s="1270"/>
      <c r="J655" s="1270"/>
      <c r="K655" s="1270"/>
      <c r="L655" s="1271"/>
      <c r="M655" s="750">
        <f t="shared" si="18"/>
        <v>0</v>
      </c>
    </row>
    <row r="656" spans="1:13" ht="20.25" hidden="1" x14ac:dyDescent="0.25">
      <c r="A656" s="751" t="s">
        <v>548</v>
      </c>
      <c r="B656" s="748"/>
      <c r="C656" s="745" t="s">
        <v>1090</v>
      </c>
      <c r="D656" s="928"/>
      <c r="E656" s="1268"/>
      <c r="F656" s="1269"/>
      <c r="G656" s="1269"/>
      <c r="H656" s="1269"/>
      <c r="I656" s="1270"/>
      <c r="J656" s="1270"/>
      <c r="K656" s="1270"/>
      <c r="L656" s="1271"/>
      <c r="M656" s="750">
        <f t="shared" si="18"/>
        <v>0</v>
      </c>
    </row>
    <row r="657" spans="1:13" ht="20.25" hidden="1" x14ac:dyDescent="0.25">
      <c r="A657" s="751" t="s">
        <v>549</v>
      </c>
      <c r="B657" s="748"/>
      <c r="C657" s="745" t="s">
        <v>1091</v>
      </c>
      <c r="D657" s="928"/>
      <c r="E657" s="1268"/>
      <c r="F657" s="1269"/>
      <c r="G657" s="1269"/>
      <c r="H657" s="1269"/>
      <c r="I657" s="1270"/>
      <c r="J657" s="1270"/>
      <c r="K657" s="1270"/>
      <c r="L657" s="1271"/>
      <c r="M657" s="750">
        <f t="shared" si="18"/>
        <v>0</v>
      </c>
    </row>
    <row r="658" spans="1:13" ht="20.25" hidden="1" x14ac:dyDescent="0.25">
      <c r="A658" s="751" t="s">
        <v>550</v>
      </c>
      <c r="B658" s="748"/>
      <c r="C658" s="745" t="s">
        <v>1092</v>
      </c>
      <c r="D658" s="928"/>
      <c r="E658" s="1268"/>
      <c r="F658" s="1269"/>
      <c r="G658" s="1269"/>
      <c r="H658" s="1269"/>
      <c r="I658" s="1270"/>
      <c r="J658" s="1270"/>
      <c r="K658" s="1270"/>
      <c r="L658" s="1271"/>
      <c r="M658" s="750">
        <f t="shared" si="18"/>
        <v>0</v>
      </c>
    </row>
    <row r="659" spans="1:13" ht="20.25" hidden="1" x14ac:dyDescent="0.25">
      <c r="A659" s="751" t="s">
        <v>551</v>
      </c>
      <c r="B659" s="748"/>
      <c r="C659" s="745" t="s">
        <v>1093</v>
      </c>
      <c r="D659" s="928"/>
      <c r="E659" s="1268"/>
      <c r="F659" s="1269"/>
      <c r="G659" s="1269"/>
      <c r="H659" s="1269"/>
      <c r="I659" s="1270"/>
      <c r="J659" s="1270"/>
      <c r="K659" s="1270"/>
      <c r="L659" s="1271"/>
      <c r="M659" s="750">
        <f t="shared" si="18"/>
        <v>0</v>
      </c>
    </row>
    <row r="660" spans="1:13" ht="20.25" hidden="1" x14ac:dyDescent="0.25">
      <c r="A660" s="751" t="s">
        <v>552</v>
      </c>
      <c r="B660" s="748"/>
      <c r="C660" s="745" t="s">
        <v>1094</v>
      </c>
      <c r="D660" s="928"/>
      <c r="E660" s="1268"/>
      <c r="F660" s="1269"/>
      <c r="G660" s="1269"/>
      <c r="H660" s="1269"/>
      <c r="I660" s="1270"/>
      <c r="J660" s="1270"/>
      <c r="K660" s="1270"/>
      <c r="L660" s="1271"/>
      <c r="M660" s="750">
        <f t="shared" si="18"/>
        <v>0</v>
      </c>
    </row>
    <row r="661" spans="1:13" ht="20.25" hidden="1" x14ac:dyDescent="0.25">
      <c r="A661" s="751" t="s">
        <v>553</v>
      </c>
      <c r="B661" s="748"/>
      <c r="C661" s="745" t="s">
        <v>1095</v>
      </c>
      <c r="D661" s="928"/>
      <c r="E661" s="1268"/>
      <c r="F661" s="1269"/>
      <c r="G661" s="1269"/>
      <c r="H661" s="1269"/>
      <c r="I661" s="1270"/>
      <c r="J661" s="1270"/>
      <c r="K661" s="1270"/>
      <c r="L661" s="1271"/>
      <c r="M661" s="750">
        <f t="shared" si="18"/>
        <v>0</v>
      </c>
    </row>
    <row r="662" spans="1:13" ht="20.25" hidden="1" x14ac:dyDescent="0.25">
      <c r="A662" s="751" t="s">
        <v>554</v>
      </c>
      <c r="B662" s="748"/>
      <c r="C662" s="745" t="s">
        <v>1096</v>
      </c>
      <c r="D662" s="928"/>
      <c r="E662" s="1268"/>
      <c r="F662" s="1269"/>
      <c r="G662" s="1269"/>
      <c r="H662" s="1269"/>
      <c r="I662" s="1270"/>
      <c r="J662" s="1270"/>
      <c r="K662" s="1270"/>
      <c r="L662" s="1271"/>
      <c r="M662" s="750">
        <f t="shared" si="18"/>
        <v>0</v>
      </c>
    </row>
    <row r="663" spans="1:13" ht="20.25" hidden="1" x14ac:dyDescent="0.25">
      <c r="A663" s="751" t="s">
        <v>555</v>
      </c>
      <c r="B663" s="748"/>
      <c r="C663" s="745" t="s">
        <v>1097</v>
      </c>
      <c r="D663" s="928"/>
      <c r="E663" s="1268"/>
      <c r="F663" s="1269"/>
      <c r="G663" s="1269"/>
      <c r="H663" s="1269"/>
      <c r="I663" s="1270"/>
      <c r="J663" s="1270"/>
      <c r="K663" s="1270"/>
      <c r="L663" s="1271"/>
      <c r="M663" s="750">
        <f t="shared" si="18"/>
        <v>0</v>
      </c>
    </row>
    <row r="664" spans="1:13" ht="20.25" hidden="1" x14ac:dyDescent="0.25">
      <c r="A664" s="751" t="s">
        <v>556</v>
      </c>
      <c r="B664" s="748"/>
      <c r="C664" s="745" t="s">
        <v>1098</v>
      </c>
      <c r="D664" s="928"/>
      <c r="E664" s="1268"/>
      <c r="F664" s="1269"/>
      <c r="G664" s="1269"/>
      <c r="H664" s="1269"/>
      <c r="I664" s="1270"/>
      <c r="J664" s="1270"/>
      <c r="K664" s="1270"/>
      <c r="L664" s="1271"/>
      <c r="M664" s="750">
        <f t="shared" si="18"/>
        <v>0</v>
      </c>
    </row>
    <row r="665" spans="1:13" ht="20.25" hidden="1" x14ac:dyDescent="0.25">
      <c r="A665" s="751" t="s">
        <v>557</v>
      </c>
      <c r="B665" s="748"/>
      <c r="C665" s="745" t="s">
        <v>1099</v>
      </c>
      <c r="D665" s="928"/>
      <c r="E665" s="1268"/>
      <c r="F665" s="1269"/>
      <c r="G665" s="1269"/>
      <c r="H665" s="1269"/>
      <c r="I665" s="1270"/>
      <c r="J665" s="1270"/>
      <c r="K665" s="1270"/>
      <c r="L665" s="1271"/>
      <c r="M665" s="750">
        <f t="shared" si="18"/>
        <v>0</v>
      </c>
    </row>
    <row r="666" spans="1:13" ht="20.25" hidden="1" x14ac:dyDescent="0.25">
      <c r="A666" s="751" t="s">
        <v>558</v>
      </c>
      <c r="B666" s="748"/>
      <c r="C666" s="745" t="s">
        <v>1100</v>
      </c>
      <c r="D666" s="928"/>
      <c r="E666" s="1268"/>
      <c r="F666" s="1269"/>
      <c r="G666" s="1269"/>
      <c r="H666" s="1269"/>
      <c r="I666" s="1270"/>
      <c r="J666" s="1270"/>
      <c r="K666" s="1270"/>
      <c r="L666" s="1271"/>
      <c r="M666" s="750">
        <f t="shared" si="18"/>
        <v>0</v>
      </c>
    </row>
    <row r="667" spans="1:13" ht="20.25" hidden="1" x14ac:dyDescent="0.25">
      <c r="A667" s="751" t="s">
        <v>559</v>
      </c>
      <c r="B667" s="748"/>
      <c r="C667" s="745" t="s">
        <v>1101</v>
      </c>
      <c r="D667" s="928"/>
      <c r="E667" s="1268"/>
      <c r="F667" s="1269"/>
      <c r="G667" s="1269"/>
      <c r="H667" s="1269"/>
      <c r="I667" s="1270"/>
      <c r="J667" s="1270"/>
      <c r="K667" s="1270"/>
      <c r="L667" s="1271"/>
      <c r="M667" s="750">
        <f t="shared" si="18"/>
        <v>0</v>
      </c>
    </row>
    <row r="668" spans="1:13" ht="20.25" hidden="1" x14ac:dyDescent="0.25">
      <c r="A668" s="751" t="s">
        <v>560</v>
      </c>
      <c r="B668" s="748"/>
      <c r="C668" s="745" t="s">
        <v>1102</v>
      </c>
      <c r="D668" s="928"/>
      <c r="E668" s="1268"/>
      <c r="F668" s="1269"/>
      <c r="G668" s="1269"/>
      <c r="H668" s="1269"/>
      <c r="I668" s="1270"/>
      <c r="J668" s="1270"/>
      <c r="K668" s="1270"/>
      <c r="L668" s="1271"/>
      <c r="M668" s="750">
        <f t="shared" si="18"/>
        <v>0</v>
      </c>
    </row>
    <row r="669" spans="1:13" ht="20.25" hidden="1" x14ac:dyDescent="0.25">
      <c r="A669" s="751" t="s">
        <v>561</v>
      </c>
      <c r="B669" s="748"/>
      <c r="C669" s="745" t="s">
        <v>1103</v>
      </c>
      <c r="D669" s="928"/>
      <c r="E669" s="1268"/>
      <c r="F669" s="1269"/>
      <c r="G669" s="1269"/>
      <c r="H669" s="1269"/>
      <c r="I669" s="1270"/>
      <c r="J669" s="1270"/>
      <c r="K669" s="1270"/>
      <c r="L669" s="1271"/>
      <c r="M669" s="750">
        <f t="shared" si="18"/>
        <v>0</v>
      </c>
    </row>
    <row r="670" spans="1:13" ht="20.25" hidden="1" x14ac:dyDescent="0.25">
      <c r="A670" s="751" t="s">
        <v>562</v>
      </c>
      <c r="B670" s="748"/>
      <c r="C670" s="745" t="s">
        <v>1104</v>
      </c>
      <c r="D670" s="928"/>
      <c r="E670" s="1268"/>
      <c r="F670" s="1269"/>
      <c r="G670" s="1269"/>
      <c r="H670" s="1269"/>
      <c r="I670" s="1270"/>
      <c r="J670" s="1270"/>
      <c r="K670" s="1270"/>
      <c r="L670" s="1271"/>
      <c r="M670" s="750">
        <f t="shared" si="18"/>
        <v>0</v>
      </c>
    </row>
    <row r="671" spans="1:13" ht="20.25" hidden="1" x14ac:dyDescent="0.25">
      <c r="A671" s="751" t="s">
        <v>563</v>
      </c>
      <c r="B671" s="748"/>
      <c r="C671" s="745" t="s">
        <v>1105</v>
      </c>
      <c r="D671" s="928"/>
      <c r="E671" s="1268"/>
      <c r="F671" s="1269"/>
      <c r="G671" s="1269"/>
      <c r="H671" s="1269"/>
      <c r="I671" s="1270"/>
      <c r="J671" s="1270"/>
      <c r="K671" s="1270"/>
      <c r="L671" s="1271"/>
      <c r="M671" s="750">
        <f t="shared" si="18"/>
        <v>0</v>
      </c>
    </row>
    <row r="672" spans="1:13" ht="20.25" hidden="1" x14ac:dyDescent="0.25">
      <c r="A672" s="751" t="s">
        <v>564</v>
      </c>
      <c r="B672" s="748"/>
      <c r="C672" s="745" t="s">
        <v>1106</v>
      </c>
      <c r="D672" s="928"/>
      <c r="E672" s="1268"/>
      <c r="F672" s="1269"/>
      <c r="G672" s="1269"/>
      <c r="H672" s="1269"/>
      <c r="I672" s="1270"/>
      <c r="J672" s="1270"/>
      <c r="K672" s="1270"/>
      <c r="L672" s="1271"/>
      <c r="M672" s="750">
        <f t="shared" si="18"/>
        <v>0</v>
      </c>
    </row>
    <row r="673" spans="1:13" ht="20.25" hidden="1" x14ac:dyDescent="0.25">
      <c r="A673" s="751" t="s">
        <v>565</v>
      </c>
      <c r="B673" s="748"/>
      <c r="C673" s="745" t="s">
        <v>1107</v>
      </c>
      <c r="D673" s="928"/>
      <c r="E673" s="1268"/>
      <c r="F673" s="1269"/>
      <c r="G673" s="1269"/>
      <c r="H673" s="1269"/>
      <c r="I673" s="1270"/>
      <c r="J673" s="1270"/>
      <c r="K673" s="1270"/>
      <c r="L673" s="1271"/>
      <c r="M673" s="750">
        <f t="shared" si="18"/>
        <v>0</v>
      </c>
    </row>
    <row r="674" spans="1:13" ht="20.25" hidden="1" x14ac:dyDescent="0.25">
      <c r="A674" s="751" t="s">
        <v>566</v>
      </c>
      <c r="B674" s="748"/>
      <c r="C674" s="745" t="s">
        <v>1108</v>
      </c>
      <c r="D674" s="928"/>
      <c r="E674" s="1268"/>
      <c r="F674" s="1269"/>
      <c r="G674" s="1269"/>
      <c r="H674" s="1269"/>
      <c r="I674" s="1270"/>
      <c r="J674" s="1270"/>
      <c r="K674" s="1270"/>
      <c r="L674" s="1271"/>
      <c r="M674" s="750">
        <f t="shared" si="18"/>
        <v>0</v>
      </c>
    </row>
    <row r="675" spans="1:13" ht="20.25" hidden="1" x14ac:dyDescent="0.25">
      <c r="A675" s="751" t="s">
        <v>567</v>
      </c>
      <c r="B675" s="748"/>
      <c r="C675" s="745" t="s">
        <v>1109</v>
      </c>
      <c r="D675" s="928"/>
      <c r="E675" s="1268"/>
      <c r="F675" s="1269"/>
      <c r="G675" s="1269"/>
      <c r="H675" s="1269"/>
      <c r="I675" s="1270"/>
      <c r="J675" s="1270"/>
      <c r="K675" s="1270"/>
      <c r="L675" s="1271"/>
      <c r="M675" s="750">
        <f t="shared" si="18"/>
        <v>0</v>
      </c>
    </row>
    <row r="676" spans="1:13" ht="20.25" hidden="1" x14ac:dyDescent="0.25">
      <c r="A676" s="751" t="s">
        <v>780</v>
      </c>
      <c r="B676" s="748"/>
      <c r="C676" s="745" t="s">
        <v>1110</v>
      </c>
      <c r="D676" s="928"/>
      <c r="E676" s="1268"/>
      <c r="F676" s="1269"/>
      <c r="G676" s="1269"/>
      <c r="H676" s="1269"/>
      <c r="I676" s="1270"/>
      <c r="J676" s="1270"/>
      <c r="K676" s="1270"/>
      <c r="L676" s="1271"/>
      <c r="M676" s="750">
        <f t="shared" si="18"/>
        <v>0</v>
      </c>
    </row>
    <row r="677" spans="1:13" ht="20.25" hidden="1" x14ac:dyDescent="0.25">
      <c r="A677" s="751" t="s">
        <v>781</v>
      </c>
      <c r="B677" s="748"/>
      <c r="C677" s="745" t="s">
        <v>1111</v>
      </c>
      <c r="D677" s="928"/>
      <c r="E677" s="1268"/>
      <c r="F677" s="1269"/>
      <c r="G677" s="1269"/>
      <c r="H677" s="1269"/>
      <c r="I677" s="1270"/>
      <c r="J677" s="1270"/>
      <c r="K677" s="1270"/>
      <c r="L677" s="1271"/>
      <c r="M677" s="750">
        <f t="shared" si="18"/>
        <v>0</v>
      </c>
    </row>
    <row r="678" spans="1:13" ht="20.25" hidden="1" x14ac:dyDescent="0.25">
      <c r="A678" s="751" t="s">
        <v>782</v>
      </c>
      <c r="B678" s="748"/>
      <c r="C678" s="745" t="s">
        <v>1112</v>
      </c>
      <c r="D678" s="928"/>
      <c r="E678" s="1268"/>
      <c r="F678" s="1269"/>
      <c r="G678" s="1269"/>
      <c r="H678" s="1269"/>
      <c r="I678" s="1270"/>
      <c r="J678" s="1270"/>
      <c r="K678" s="1270"/>
      <c r="L678" s="1271"/>
      <c r="M678" s="750">
        <f t="shared" si="18"/>
        <v>0</v>
      </c>
    </row>
    <row r="679" spans="1:13" ht="20.25" hidden="1" x14ac:dyDescent="0.25">
      <c r="A679" s="751" t="s">
        <v>783</v>
      </c>
      <c r="B679" s="748"/>
      <c r="C679" s="745" t="s">
        <v>1113</v>
      </c>
      <c r="D679" s="928"/>
      <c r="E679" s="1268"/>
      <c r="F679" s="1269"/>
      <c r="G679" s="1269"/>
      <c r="H679" s="1269"/>
      <c r="I679" s="1270"/>
      <c r="J679" s="1270"/>
      <c r="K679" s="1270"/>
      <c r="L679" s="1271"/>
      <c r="M679" s="750">
        <f t="shared" si="18"/>
        <v>0</v>
      </c>
    </row>
    <row r="680" spans="1:13" ht="20.25" hidden="1" x14ac:dyDescent="0.25">
      <c r="A680" s="751" t="s">
        <v>784</v>
      </c>
      <c r="B680" s="748"/>
      <c r="C680" s="745" t="s">
        <v>1114</v>
      </c>
      <c r="D680" s="928"/>
      <c r="E680" s="1268"/>
      <c r="F680" s="1269"/>
      <c r="G680" s="1269"/>
      <c r="H680" s="1269"/>
      <c r="I680" s="1270"/>
      <c r="J680" s="1270"/>
      <c r="K680" s="1270"/>
      <c r="L680" s="1271"/>
      <c r="M680" s="750">
        <f t="shared" si="18"/>
        <v>0</v>
      </c>
    </row>
    <row r="681" spans="1:13" ht="20.25" hidden="1" x14ac:dyDescent="0.25">
      <c r="A681" s="751" t="s">
        <v>785</v>
      </c>
      <c r="B681" s="748"/>
      <c r="C681" s="745" t="s">
        <v>1115</v>
      </c>
      <c r="D681" s="928"/>
      <c r="E681" s="1268"/>
      <c r="F681" s="1269"/>
      <c r="G681" s="1269"/>
      <c r="H681" s="1269"/>
      <c r="I681" s="1270"/>
      <c r="J681" s="1270"/>
      <c r="K681" s="1270"/>
      <c r="L681" s="1271"/>
      <c r="M681" s="750">
        <f t="shared" si="18"/>
        <v>0</v>
      </c>
    </row>
    <row r="682" spans="1:13" ht="20.25" x14ac:dyDescent="0.25">
      <c r="A682" s="751" t="s">
        <v>910</v>
      </c>
      <c r="B682" s="748"/>
      <c r="C682" s="745" t="s">
        <v>1116</v>
      </c>
      <c r="D682" s="928">
        <v>1328900</v>
      </c>
      <c r="E682" s="1268"/>
      <c r="F682" s="1269"/>
      <c r="G682" s="1269"/>
      <c r="H682" s="1269"/>
      <c r="I682" s="1270"/>
      <c r="J682" s="1270"/>
      <c r="K682" s="1270"/>
      <c r="L682" s="1271"/>
      <c r="M682" s="750">
        <f t="shared" si="18"/>
        <v>1328900</v>
      </c>
    </row>
    <row r="683" spans="1:13" ht="20.25" hidden="1" x14ac:dyDescent="0.25">
      <c r="A683" s="751" t="s">
        <v>911</v>
      </c>
      <c r="B683" s="748"/>
      <c r="C683" s="745" t="s">
        <v>1117</v>
      </c>
      <c r="D683" s="928"/>
      <c r="E683" s="1268"/>
      <c r="F683" s="1269"/>
      <c r="G683" s="1269"/>
      <c r="H683" s="1269"/>
      <c r="I683" s="1270"/>
      <c r="J683" s="1270"/>
      <c r="K683" s="1270"/>
      <c r="L683" s="1271"/>
      <c r="M683" s="750">
        <f t="shared" si="18"/>
        <v>0</v>
      </c>
    </row>
    <row r="684" spans="1:13" ht="20.25" hidden="1" x14ac:dyDescent="0.25">
      <c r="A684" s="751" t="s">
        <v>1118</v>
      </c>
      <c r="B684" s="748"/>
      <c r="C684" s="745" t="s">
        <v>1119</v>
      </c>
      <c r="D684" s="928"/>
      <c r="E684" s="1268"/>
      <c r="F684" s="1269"/>
      <c r="G684" s="1269"/>
      <c r="H684" s="1269"/>
      <c r="I684" s="1270"/>
      <c r="J684" s="1270"/>
      <c r="K684" s="1270"/>
      <c r="L684" s="1271"/>
      <c r="M684" s="750">
        <f t="shared" si="18"/>
        <v>0</v>
      </c>
    </row>
    <row r="685" spans="1:13" ht="20.25" hidden="1" x14ac:dyDescent="0.25">
      <c r="A685" s="751" t="s">
        <v>1120</v>
      </c>
      <c r="B685" s="748"/>
      <c r="C685" s="745" t="s">
        <v>1121</v>
      </c>
      <c r="D685" s="928"/>
      <c r="E685" s="1268"/>
      <c r="F685" s="1269"/>
      <c r="G685" s="1269"/>
      <c r="H685" s="1269"/>
      <c r="I685" s="1270"/>
      <c r="J685" s="1270"/>
      <c r="K685" s="1270"/>
      <c r="L685" s="1271"/>
      <c r="M685" s="750">
        <f t="shared" si="18"/>
        <v>0</v>
      </c>
    </row>
    <row r="686" spans="1:13" ht="20.25" hidden="1" x14ac:dyDescent="0.25">
      <c r="A686" s="751" t="s">
        <v>1122</v>
      </c>
      <c r="B686" s="748"/>
      <c r="C686" s="745" t="s">
        <v>1123</v>
      </c>
      <c r="D686" s="928"/>
      <c r="E686" s="1268"/>
      <c r="F686" s="1269"/>
      <c r="G686" s="1269"/>
      <c r="H686" s="1269"/>
      <c r="I686" s="1270"/>
      <c r="J686" s="1270"/>
      <c r="K686" s="1270"/>
      <c r="L686" s="1271"/>
      <c r="M686" s="750">
        <f t="shared" si="18"/>
        <v>0</v>
      </c>
    </row>
    <row r="687" spans="1:13" ht="20.25" hidden="1" x14ac:dyDescent="0.25">
      <c r="A687" s="751" t="s">
        <v>1124</v>
      </c>
      <c r="B687" s="748"/>
      <c r="C687" s="745" t="s">
        <v>1125</v>
      </c>
      <c r="D687" s="928"/>
      <c r="E687" s="1268"/>
      <c r="F687" s="1269"/>
      <c r="G687" s="1269"/>
      <c r="H687" s="1269"/>
      <c r="I687" s="1270"/>
      <c r="J687" s="1270"/>
      <c r="K687" s="1270"/>
      <c r="L687" s="1271"/>
      <c r="M687" s="750">
        <f t="shared" si="18"/>
        <v>0</v>
      </c>
    </row>
    <row r="688" spans="1:13" ht="20.25" hidden="1" x14ac:dyDescent="0.25">
      <c r="A688" s="751" t="s">
        <v>1126</v>
      </c>
      <c r="B688" s="748"/>
      <c r="C688" s="745" t="s">
        <v>1127</v>
      </c>
      <c r="D688" s="928"/>
      <c r="E688" s="1268"/>
      <c r="F688" s="1269"/>
      <c r="G688" s="1269"/>
      <c r="H688" s="1269"/>
      <c r="I688" s="1270"/>
      <c r="J688" s="1270"/>
      <c r="K688" s="1270"/>
      <c r="L688" s="1271"/>
      <c r="M688" s="750">
        <f t="shared" si="18"/>
        <v>0</v>
      </c>
    </row>
    <row r="689" spans="1:15" ht="20.25" hidden="1" x14ac:dyDescent="0.25">
      <c r="A689" s="751" t="s">
        <v>1128</v>
      </c>
      <c r="B689" s="748"/>
      <c r="C689" s="745" t="s">
        <v>1129</v>
      </c>
      <c r="D689" s="928"/>
      <c r="E689" s="1268"/>
      <c r="F689" s="1269"/>
      <c r="G689" s="1269"/>
      <c r="H689" s="1269"/>
      <c r="I689" s="1270"/>
      <c r="J689" s="1270"/>
      <c r="K689" s="1270"/>
      <c r="L689" s="1271"/>
      <c r="M689" s="750">
        <f t="shared" si="18"/>
        <v>0</v>
      </c>
    </row>
    <row r="690" spans="1:15" ht="20.25" hidden="1" x14ac:dyDescent="0.25">
      <c r="A690" s="751" t="s">
        <v>1130</v>
      </c>
      <c r="B690" s="748"/>
      <c r="C690" s="745" t="s">
        <v>1131</v>
      </c>
      <c r="D690" s="928"/>
      <c r="E690" s="1268"/>
      <c r="F690" s="1269"/>
      <c r="G690" s="1269"/>
      <c r="H690" s="1269"/>
      <c r="I690" s="1270"/>
      <c r="J690" s="1270"/>
      <c r="K690" s="1270"/>
      <c r="L690" s="1271"/>
      <c r="M690" s="750">
        <f t="shared" si="18"/>
        <v>0</v>
      </c>
    </row>
    <row r="691" spans="1:15" ht="20.25" hidden="1" x14ac:dyDescent="0.25">
      <c r="A691" s="751" t="s">
        <v>1132</v>
      </c>
      <c r="B691" s="748"/>
      <c r="C691" s="745" t="s">
        <v>1133</v>
      </c>
      <c r="D691" s="928"/>
      <c r="E691" s="1268"/>
      <c r="F691" s="1269"/>
      <c r="G691" s="1269"/>
      <c r="H691" s="1269"/>
      <c r="I691" s="1270"/>
      <c r="J691" s="1270"/>
      <c r="K691" s="1270"/>
      <c r="L691" s="1271"/>
      <c r="M691" s="750">
        <f t="shared" si="18"/>
        <v>0</v>
      </c>
    </row>
    <row r="692" spans="1:15" ht="20.25" hidden="1" x14ac:dyDescent="0.25">
      <c r="A692" s="751" t="s">
        <v>1134</v>
      </c>
      <c r="B692" s="748"/>
      <c r="C692" s="745" t="s">
        <v>1135</v>
      </c>
      <c r="D692" s="928"/>
      <c r="E692" s="1268"/>
      <c r="F692" s="1269"/>
      <c r="G692" s="1269"/>
      <c r="H692" s="1269"/>
      <c r="I692" s="1270"/>
      <c r="J692" s="1270"/>
      <c r="K692" s="1270"/>
      <c r="L692" s="1271"/>
      <c r="M692" s="750">
        <f t="shared" si="18"/>
        <v>0</v>
      </c>
    </row>
    <row r="693" spans="1:15" ht="20.25" hidden="1" x14ac:dyDescent="0.25">
      <c r="A693" s="751" t="s">
        <v>1136</v>
      </c>
      <c r="B693" s="748"/>
      <c r="C693" s="745" t="s">
        <v>1137</v>
      </c>
      <c r="D693" s="928"/>
      <c r="E693" s="1268"/>
      <c r="F693" s="1269"/>
      <c r="G693" s="1269"/>
      <c r="H693" s="1269"/>
      <c r="I693" s="1270"/>
      <c r="J693" s="1270"/>
      <c r="K693" s="1270"/>
      <c r="L693" s="1271"/>
      <c r="M693" s="750">
        <f t="shared" si="18"/>
        <v>0</v>
      </c>
    </row>
    <row r="694" spans="1:15" ht="20.25" hidden="1" x14ac:dyDescent="0.25">
      <c r="A694" s="751" t="s">
        <v>1138</v>
      </c>
      <c r="B694" s="748"/>
      <c r="C694" s="745" t="s">
        <v>1139</v>
      </c>
      <c r="D694" s="928"/>
      <c r="E694" s="1268"/>
      <c r="F694" s="1269"/>
      <c r="G694" s="1269"/>
      <c r="H694" s="1269"/>
      <c r="I694" s="1270"/>
      <c r="J694" s="1270"/>
      <c r="K694" s="1270"/>
      <c r="L694" s="1271"/>
      <c r="M694" s="750">
        <f t="shared" si="18"/>
        <v>0</v>
      </c>
    </row>
    <row r="695" spans="1:15" ht="20.25" hidden="1" x14ac:dyDescent="0.25">
      <c r="A695" s="751" t="s">
        <v>1140</v>
      </c>
      <c r="B695" s="748"/>
      <c r="C695" s="745" t="s">
        <v>1141</v>
      </c>
      <c r="D695" s="928"/>
      <c r="E695" s="1268"/>
      <c r="F695" s="1269"/>
      <c r="G695" s="1269"/>
      <c r="H695" s="1269"/>
      <c r="I695" s="1270"/>
      <c r="J695" s="1270"/>
      <c r="K695" s="1270"/>
      <c r="L695" s="1271"/>
      <c r="M695" s="750">
        <f t="shared" si="18"/>
        <v>0</v>
      </c>
    </row>
    <row r="696" spans="1:15" ht="20.25" hidden="1" x14ac:dyDescent="0.25">
      <c r="A696" s="751" t="s">
        <v>1142</v>
      </c>
      <c r="B696" s="748"/>
      <c r="C696" s="745" t="s">
        <v>1143</v>
      </c>
      <c r="D696" s="928"/>
      <c r="E696" s="1268"/>
      <c r="F696" s="1269"/>
      <c r="G696" s="1269"/>
      <c r="H696" s="1269"/>
      <c r="I696" s="1270"/>
      <c r="J696" s="1270"/>
      <c r="K696" s="1270"/>
      <c r="L696" s="1271"/>
      <c r="M696" s="750">
        <f t="shared" si="18"/>
        <v>0</v>
      </c>
    </row>
    <row r="697" spans="1:15" ht="20.25" hidden="1" x14ac:dyDescent="0.25">
      <c r="A697" s="751" t="s">
        <v>1144</v>
      </c>
      <c r="B697" s="748"/>
      <c r="C697" s="745" t="s">
        <v>1145</v>
      </c>
      <c r="D697" s="928"/>
      <c r="E697" s="1268"/>
      <c r="F697" s="1269"/>
      <c r="G697" s="1269"/>
      <c r="H697" s="1269"/>
      <c r="I697" s="1270"/>
      <c r="J697" s="1270"/>
      <c r="K697" s="1270"/>
      <c r="L697" s="1271"/>
      <c r="M697" s="750">
        <f t="shared" si="18"/>
        <v>0</v>
      </c>
    </row>
    <row r="698" spans="1:15" ht="20.25" hidden="1" x14ac:dyDescent="0.25">
      <c r="A698" s="751" t="s">
        <v>1146</v>
      </c>
      <c r="B698" s="748"/>
      <c r="C698" s="745" t="s">
        <v>1147</v>
      </c>
      <c r="D698" s="928"/>
      <c r="E698" s="1268"/>
      <c r="F698" s="1269"/>
      <c r="G698" s="1269"/>
      <c r="H698" s="1269"/>
      <c r="I698" s="1270"/>
      <c r="J698" s="1270"/>
      <c r="K698" s="1270"/>
      <c r="L698" s="1271"/>
      <c r="M698" s="750">
        <f t="shared" si="18"/>
        <v>0</v>
      </c>
    </row>
    <row r="699" spans="1:15" ht="20.25" hidden="1" x14ac:dyDescent="0.25">
      <c r="A699" s="751" t="s">
        <v>1148</v>
      </c>
      <c r="B699" s="748"/>
      <c r="C699" s="745" t="s">
        <v>1149</v>
      </c>
      <c r="D699" s="928"/>
      <c r="E699" s="1268"/>
      <c r="F699" s="1269"/>
      <c r="G699" s="1269"/>
      <c r="H699" s="1269"/>
      <c r="I699" s="1270"/>
      <c r="J699" s="1270"/>
      <c r="K699" s="1270"/>
      <c r="L699" s="1271"/>
      <c r="M699" s="750">
        <f t="shared" si="18"/>
        <v>0</v>
      </c>
    </row>
    <row r="700" spans="1:15" ht="20.25" hidden="1" x14ac:dyDescent="0.25">
      <c r="A700" s="748"/>
      <c r="B700" s="748"/>
      <c r="C700" s="85" t="s">
        <v>168</v>
      </c>
      <c r="D700" s="928">
        <f>1328900-1328900</f>
        <v>0</v>
      </c>
      <c r="E700" s="1268"/>
      <c r="F700" s="1269"/>
      <c r="G700" s="1269"/>
      <c r="H700" s="1269"/>
      <c r="I700" s="1270"/>
      <c r="J700" s="1270"/>
      <c r="K700" s="1270"/>
      <c r="L700" s="1271"/>
      <c r="M700" s="750">
        <f t="shared" si="18"/>
        <v>0</v>
      </c>
    </row>
    <row r="701" spans="1:15" ht="204.75" x14ac:dyDescent="0.25">
      <c r="A701" s="1327" t="s">
        <v>713</v>
      </c>
      <c r="B701" s="1328">
        <v>9243</v>
      </c>
      <c r="C701" s="1349" t="s">
        <v>1868</v>
      </c>
      <c r="D701" s="1314">
        <f>SUM(D702:D768)</f>
        <v>5199182</v>
      </c>
      <c r="E701" s="1315"/>
      <c r="F701" s="1257"/>
      <c r="G701" s="1257"/>
      <c r="H701" s="1257"/>
      <c r="I701" s="1195"/>
      <c r="J701" s="1195"/>
      <c r="K701" s="1195"/>
      <c r="L701" s="1196"/>
      <c r="M701" s="750">
        <f t="shared" si="18"/>
        <v>5199182</v>
      </c>
      <c r="N701" s="1592" t="b">
        <f>D701=дод3!E148</f>
        <v>1</v>
      </c>
      <c r="O701" s="1320"/>
    </row>
    <row r="702" spans="1:15" ht="20.25" hidden="1" x14ac:dyDescent="0.25">
      <c r="A702" s="751" t="s">
        <v>526</v>
      </c>
      <c r="B702" s="748"/>
      <c r="C702" s="745" t="s">
        <v>1060</v>
      </c>
      <c r="D702" s="928"/>
      <c r="E702" s="1268"/>
      <c r="F702" s="1269"/>
      <c r="G702" s="1269"/>
      <c r="H702" s="1269"/>
      <c r="I702" s="1270"/>
      <c r="J702" s="1270"/>
      <c r="K702" s="1270"/>
      <c r="L702" s="1271"/>
      <c r="M702" s="750">
        <f t="shared" si="18"/>
        <v>0</v>
      </c>
    </row>
    <row r="703" spans="1:15" ht="20.25" hidden="1" x14ac:dyDescent="0.25">
      <c r="A703" s="751" t="s">
        <v>527</v>
      </c>
      <c r="B703" s="748"/>
      <c r="C703" s="745" t="s">
        <v>1069</v>
      </c>
      <c r="D703" s="928"/>
      <c r="E703" s="1268"/>
      <c r="F703" s="1269"/>
      <c r="G703" s="1269"/>
      <c r="H703" s="1269"/>
      <c r="I703" s="1270"/>
      <c r="J703" s="1270"/>
      <c r="K703" s="1270"/>
      <c r="L703" s="1271"/>
      <c r="M703" s="750">
        <f t="shared" si="18"/>
        <v>0</v>
      </c>
    </row>
    <row r="704" spans="1:15" ht="20.25" hidden="1" x14ac:dyDescent="0.25">
      <c r="A704" s="751" t="s">
        <v>528</v>
      </c>
      <c r="B704" s="748"/>
      <c r="C704" s="745" t="s">
        <v>1070</v>
      </c>
      <c r="D704" s="928"/>
      <c r="E704" s="1268"/>
      <c r="F704" s="1269"/>
      <c r="G704" s="1269"/>
      <c r="H704" s="1269"/>
      <c r="I704" s="1270"/>
      <c r="J704" s="1270"/>
      <c r="K704" s="1270"/>
      <c r="L704" s="1271"/>
      <c r="M704" s="750">
        <f t="shared" si="18"/>
        <v>0</v>
      </c>
    </row>
    <row r="705" spans="1:13" ht="20.25" hidden="1" x14ac:dyDescent="0.25">
      <c r="A705" s="751" t="s">
        <v>529</v>
      </c>
      <c r="B705" s="748"/>
      <c r="C705" s="745" t="s">
        <v>1071</v>
      </c>
      <c r="D705" s="928"/>
      <c r="E705" s="1268"/>
      <c r="F705" s="1269"/>
      <c r="G705" s="1269"/>
      <c r="H705" s="1269"/>
      <c r="I705" s="1270"/>
      <c r="J705" s="1270"/>
      <c r="K705" s="1270"/>
      <c r="L705" s="1271"/>
      <c r="M705" s="750">
        <f t="shared" si="18"/>
        <v>0</v>
      </c>
    </row>
    <row r="706" spans="1:13" ht="20.25" hidden="1" x14ac:dyDescent="0.25">
      <c r="A706" s="751" t="s">
        <v>530</v>
      </c>
      <c r="B706" s="748"/>
      <c r="C706" s="745" t="s">
        <v>1072</v>
      </c>
      <c r="D706" s="928"/>
      <c r="E706" s="1268"/>
      <c r="F706" s="1269"/>
      <c r="G706" s="1269"/>
      <c r="H706" s="1269"/>
      <c r="I706" s="1270"/>
      <c r="J706" s="1270"/>
      <c r="K706" s="1270"/>
      <c r="L706" s="1271"/>
      <c r="M706" s="750">
        <f t="shared" si="18"/>
        <v>0</v>
      </c>
    </row>
    <row r="707" spans="1:13" ht="20.25" hidden="1" x14ac:dyDescent="0.25">
      <c r="A707" s="751" t="s">
        <v>531</v>
      </c>
      <c r="B707" s="748"/>
      <c r="C707" s="745" t="s">
        <v>1073</v>
      </c>
      <c r="D707" s="928"/>
      <c r="E707" s="1268"/>
      <c r="F707" s="1269"/>
      <c r="G707" s="1269"/>
      <c r="H707" s="1269"/>
      <c r="I707" s="1270"/>
      <c r="J707" s="1270"/>
      <c r="K707" s="1270"/>
      <c r="L707" s="1271"/>
      <c r="M707" s="750">
        <f t="shared" si="18"/>
        <v>0</v>
      </c>
    </row>
    <row r="708" spans="1:13" ht="20.25" hidden="1" x14ac:dyDescent="0.25">
      <c r="A708" s="751" t="s">
        <v>532</v>
      </c>
      <c r="B708" s="748"/>
      <c r="C708" s="745" t="s">
        <v>1074</v>
      </c>
      <c r="D708" s="928"/>
      <c r="E708" s="1268"/>
      <c r="F708" s="1269"/>
      <c r="G708" s="1269"/>
      <c r="H708" s="1269"/>
      <c r="I708" s="1270"/>
      <c r="J708" s="1270"/>
      <c r="K708" s="1270"/>
      <c r="L708" s="1271"/>
      <c r="M708" s="750">
        <f t="shared" si="18"/>
        <v>0</v>
      </c>
    </row>
    <row r="709" spans="1:13" ht="20.25" hidden="1" x14ac:dyDescent="0.25">
      <c r="A709" s="751" t="s">
        <v>533</v>
      </c>
      <c r="B709" s="748"/>
      <c r="C709" s="745" t="s">
        <v>1075</v>
      </c>
      <c r="D709" s="928"/>
      <c r="E709" s="1268"/>
      <c r="F709" s="1269"/>
      <c r="G709" s="1269"/>
      <c r="H709" s="1269"/>
      <c r="I709" s="1270"/>
      <c r="J709" s="1270"/>
      <c r="K709" s="1270"/>
      <c r="L709" s="1271"/>
      <c r="M709" s="750">
        <f t="shared" si="18"/>
        <v>0</v>
      </c>
    </row>
    <row r="710" spans="1:13" ht="20.25" hidden="1" x14ac:dyDescent="0.25">
      <c r="A710" s="751" t="s">
        <v>534</v>
      </c>
      <c r="B710" s="748"/>
      <c r="C710" s="745" t="s">
        <v>1076</v>
      </c>
      <c r="D710" s="928"/>
      <c r="E710" s="1268"/>
      <c r="F710" s="1269"/>
      <c r="G710" s="1269"/>
      <c r="H710" s="1269"/>
      <c r="I710" s="1270"/>
      <c r="J710" s="1270"/>
      <c r="K710" s="1270"/>
      <c r="L710" s="1271"/>
      <c r="M710" s="750">
        <f t="shared" si="18"/>
        <v>0</v>
      </c>
    </row>
    <row r="711" spans="1:13" ht="20.25" hidden="1" x14ac:dyDescent="0.25">
      <c r="A711" s="751" t="s">
        <v>535</v>
      </c>
      <c r="B711" s="748"/>
      <c r="C711" s="745" t="s">
        <v>1077</v>
      </c>
      <c r="D711" s="928"/>
      <c r="E711" s="1268"/>
      <c r="F711" s="1269"/>
      <c r="G711" s="1269"/>
      <c r="H711" s="1269"/>
      <c r="I711" s="1270"/>
      <c r="J711" s="1270"/>
      <c r="K711" s="1270"/>
      <c r="L711" s="1271"/>
      <c r="M711" s="750">
        <f t="shared" ref="M711:M774" si="19">SUM(D711:H711)</f>
        <v>0</v>
      </c>
    </row>
    <row r="712" spans="1:13" ht="20.25" x14ac:dyDescent="0.25">
      <c r="A712" s="751" t="s">
        <v>536</v>
      </c>
      <c r="B712" s="748"/>
      <c r="C712" s="745" t="s">
        <v>1078</v>
      </c>
      <c r="D712" s="926">
        <f>727436+25432</f>
        <v>752868</v>
      </c>
      <c r="E712" s="1268"/>
      <c r="F712" s="1269"/>
      <c r="G712" s="1269"/>
      <c r="H712" s="1269"/>
      <c r="I712" s="1270"/>
      <c r="J712" s="1270"/>
      <c r="K712" s="1270"/>
      <c r="L712" s="1271"/>
      <c r="M712" s="750">
        <f t="shared" si="19"/>
        <v>752868</v>
      </c>
    </row>
    <row r="713" spans="1:13" ht="20.25" hidden="1" x14ac:dyDescent="0.25">
      <c r="A713" s="751" t="s">
        <v>537</v>
      </c>
      <c r="B713" s="748"/>
      <c r="C713" s="745" t="s">
        <v>1079</v>
      </c>
      <c r="D713" s="928"/>
      <c r="E713" s="1268"/>
      <c r="F713" s="1269"/>
      <c r="G713" s="1269"/>
      <c r="H713" s="1269"/>
      <c r="I713" s="1270"/>
      <c r="J713" s="1270"/>
      <c r="K713" s="1270"/>
      <c r="L713" s="1271"/>
      <c r="M713" s="750">
        <f t="shared" si="19"/>
        <v>0</v>
      </c>
    </row>
    <row r="714" spans="1:13" ht="20.25" hidden="1" x14ac:dyDescent="0.25">
      <c r="A714" s="751" t="s">
        <v>538</v>
      </c>
      <c r="B714" s="748"/>
      <c r="C714" s="745" t="s">
        <v>1080</v>
      </c>
      <c r="D714" s="928"/>
      <c r="E714" s="1268"/>
      <c r="F714" s="1269"/>
      <c r="G714" s="1269"/>
      <c r="H714" s="1269"/>
      <c r="I714" s="1270"/>
      <c r="J714" s="1270"/>
      <c r="K714" s="1270"/>
      <c r="L714" s="1271"/>
      <c r="M714" s="750">
        <f t="shared" si="19"/>
        <v>0</v>
      </c>
    </row>
    <row r="715" spans="1:13" ht="20.25" hidden="1" x14ac:dyDescent="0.25">
      <c r="A715" s="751" t="s">
        <v>539</v>
      </c>
      <c r="B715" s="748"/>
      <c r="C715" s="745" t="s">
        <v>1081</v>
      </c>
      <c r="D715" s="928"/>
      <c r="E715" s="1268"/>
      <c r="F715" s="1269"/>
      <c r="G715" s="1269"/>
      <c r="H715" s="1269"/>
      <c r="I715" s="1270"/>
      <c r="J715" s="1270"/>
      <c r="K715" s="1270"/>
      <c r="L715" s="1271"/>
      <c r="M715" s="750">
        <f t="shared" si="19"/>
        <v>0</v>
      </c>
    </row>
    <row r="716" spans="1:13" ht="20.25" hidden="1" x14ac:dyDescent="0.25">
      <c r="A716" s="751" t="s">
        <v>540</v>
      </c>
      <c r="B716" s="748"/>
      <c r="C716" s="745" t="s">
        <v>1082</v>
      </c>
      <c r="D716" s="928"/>
      <c r="E716" s="1268"/>
      <c r="F716" s="1269"/>
      <c r="G716" s="1269"/>
      <c r="H716" s="1269"/>
      <c r="I716" s="1270"/>
      <c r="J716" s="1270"/>
      <c r="K716" s="1270"/>
      <c r="L716" s="1271"/>
      <c r="M716" s="750">
        <f t="shared" si="19"/>
        <v>0</v>
      </c>
    </row>
    <row r="717" spans="1:13" ht="20.25" hidden="1" x14ac:dyDescent="0.25">
      <c r="A717" s="751" t="s">
        <v>541</v>
      </c>
      <c r="B717" s="748"/>
      <c r="C717" s="745" t="s">
        <v>1083</v>
      </c>
      <c r="D717" s="928"/>
      <c r="E717" s="1268"/>
      <c r="F717" s="1269"/>
      <c r="G717" s="1269"/>
      <c r="H717" s="1269"/>
      <c r="I717" s="1270"/>
      <c r="J717" s="1270"/>
      <c r="K717" s="1270"/>
      <c r="L717" s="1271"/>
      <c r="M717" s="750">
        <f t="shared" si="19"/>
        <v>0</v>
      </c>
    </row>
    <row r="718" spans="1:13" ht="20.25" hidden="1" x14ac:dyDescent="0.25">
      <c r="A718" s="751" t="s">
        <v>542</v>
      </c>
      <c r="B718" s="748"/>
      <c r="C718" s="745" t="s">
        <v>1084</v>
      </c>
      <c r="D718" s="928"/>
      <c r="E718" s="1268"/>
      <c r="F718" s="1269"/>
      <c r="G718" s="1269"/>
      <c r="H718" s="1269"/>
      <c r="I718" s="1270"/>
      <c r="J718" s="1270"/>
      <c r="K718" s="1270"/>
      <c r="L718" s="1271"/>
      <c r="M718" s="750">
        <f t="shared" si="19"/>
        <v>0</v>
      </c>
    </row>
    <row r="719" spans="1:13" ht="20.25" hidden="1" x14ac:dyDescent="0.25">
      <c r="A719" s="751" t="s">
        <v>543</v>
      </c>
      <c r="B719" s="748"/>
      <c r="C719" s="745" t="s">
        <v>1085</v>
      </c>
      <c r="D719" s="928"/>
      <c r="E719" s="1268"/>
      <c r="F719" s="1269"/>
      <c r="G719" s="1269"/>
      <c r="H719" s="1269"/>
      <c r="I719" s="1270"/>
      <c r="J719" s="1270"/>
      <c r="K719" s="1270"/>
      <c r="L719" s="1271"/>
      <c r="M719" s="750">
        <f t="shared" si="19"/>
        <v>0</v>
      </c>
    </row>
    <row r="720" spans="1:13" ht="20.25" hidden="1" x14ac:dyDescent="0.25">
      <c r="A720" s="751" t="s">
        <v>544</v>
      </c>
      <c r="B720" s="748"/>
      <c r="C720" s="745" t="s">
        <v>1086</v>
      </c>
      <c r="D720" s="928"/>
      <c r="E720" s="1268"/>
      <c r="F720" s="1269"/>
      <c r="G720" s="1269"/>
      <c r="H720" s="1269"/>
      <c r="I720" s="1270"/>
      <c r="J720" s="1270"/>
      <c r="K720" s="1270"/>
      <c r="L720" s="1271"/>
      <c r="M720" s="750">
        <f t="shared" si="19"/>
        <v>0</v>
      </c>
    </row>
    <row r="721" spans="1:13" ht="20.25" hidden="1" x14ac:dyDescent="0.25">
      <c r="A721" s="751" t="s">
        <v>545</v>
      </c>
      <c r="B721" s="748"/>
      <c r="C721" s="745" t="s">
        <v>1087</v>
      </c>
      <c r="D721" s="928"/>
      <c r="E721" s="1268"/>
      <c r="F721" s="1269"/>
      <c r="G721" s="1269"/>
      <c r="H721" s="1269"/>
      <c r="I721" s="1270"/>
      <c r="J721" s="1270"/>
      <c r="K721" s="1270"/>
      <c r="L721" s="1271"/>
      <c r="M721" s="750">
        <f t="shared" si="19"/>
        <v>0</v>
      </c>
    </row>
    <row r="722" spans="1:13" ht="20.25" hidden="1" x14ac:dyDescent="0.25">
      <c r="A722" s="751" t="s">
        <v>546</v>
      </c>
      <c r="B722" s="748"/>
      <c r="C722" s="745" t="s">
        <v>1088</v>
      </c>
      <c r="D722" s="928"/>
      <c r="E722" s="1268"/>
      <c r="F722" s="1269"/>
      <c r="G722" s="1269"/>
      <c r="H722" s="1269"/>
      <c r="I722" s="1270"/>
      <c r="J722" s="1270"/>
      <c r="K722" s="1270"/>
      <c r="L722" s="1271"/>
      <c r="M722" s="750">
        <f t="shared" si="19"/>
        <v>0</v>
      </c>
    </row>
    <row r="723" spans="1:13" ht="20.25" hidden="1" x14ac:dyDescent="0.25">
      <c r="A723" s="751" t="s">
        <v>547</v>
      </c>
      <c r="B723" s="748"/>
      <c r="C723" s="745" t="s">
        <v>1089</v>
      </c>
      <c r="D723" s="928"/>
      <c r="E723" s="1268"/>
      <c r="F723" s="1269"/>
      <c r="G723" s="1269"/>
      <c r="H723" s="1269"/>
      <c r="I723" s="1270"/>
      <c r="J723" s="1270"/>
      <c r="K723" s="1270"/>
      <c r="L723" s="1271"/>
      <c r="M723" s="750">
        <f t="shared" si="19"/>
        <v>0</v>
      </c>
    </row>
    <row r="724" spans="1:13" ht="20.25" hidden="1" x14ac:dyDescent="0.25">
      <c r="A724" s="751" t="s">
        <v>548</v>
      </c>
      <c r="B724" s="748"/>
      <c r="C724" s="745" t="s">
        <v>1090</v>
      </c>
      <c r="D724" s="928"/>
      <c r="E724" s="1268"/>
      <c r="F724" s="1269"/>
      <c r="G724" s="1269"/>
      <c r="H724" s="1269"/>
      <c r="I724" s="1270"/>
      <c r="J724" s="1270"/>
      <c r="K724" s="1270"/>
      <c r="L724" s="1271"/>
      <c r="M724" s="750">
        <f t="shared" si="19"/>
        <v>0</v>
      </c>
    </row>
    <row r="725" spans="1:13" ht="20.25" hidden="1" x14ac:dyDescent="0.25">
      <c r="A725" s="751" t="s">
        <v>549</v>
      </c>
      <c r="B725" s="748"/>
      <c r="C725" s="745" t="s">
        <v>1091</v>
      </c>
      <c r="D725" s="928"/>
      <c r="E725" s="1268"/>
      <c r="F725" s="1269"/>
      <c r="G725" s="1269"/>
      <c r="H725" s="1269"/>
      <c r="I725" s="1270"/>
      <c r="J725" s="1270"/>
      <c r="K725" s="1270"/>
      <c r="L725" s="1271"/>
      <c r="M725" s="750">
        <f t="shared" si="19"/>
        <v>0</v>
      </c>
    </row>
    <row r="726" spans="1:13" ht="20.25" hidden="1" x14ac:dyDescent="0.25">
      <c r="A726" s="751" t="s">
        <v>550</v>
      </c>
      <c r="B726" s="748"/>
      <c r="C726" s="745" t="s">
        <v>1092</v>
      </c>
      <c r="D726" s="928"/>
      <c r="E726" s="1268"/>
      <c r="F726" s="1269"/>
      <c r="G726" s="1269"/>
      <c r="H726" s="1269"/>
      <c r="I726" s="1270"/>
      <c r="J726" s="1270"/>
      <c r="K726" s="1270"/>
      <c r="L726" s="1271"/>
      <c r="M726" s="750">
        <f t="shared" si="19"/>
        <v>0</v>
      </c>
    </row>
    <row r="727" spans="1:13" ht="20.25" hidden="1" x14ac:dyDescent="0.25">
      <c r="A727" s="751" t="s">
        <v>551</v>
      </c>
      <c r="B727" s="748"/>
      <c r="C727" s="745" t="s">
        <v>1093</v>
      </c>
      <c r="D727" s="928"/>
      <c r="E727" s="1268"/>
      <c r="F727" s="1269"/>
      <c r="G727" s="1269"/>
      <c r="H727" s="1269"/>
      <c r="I727" s="1270"/>
      <c r="J727" s="1270"/>
      <c r="K727" s="1270"/>
      <c r="L727" s="1271"/>
      <c r="M727" s="750">
        <f t="shared" si="19"/>
        <v>0</v>
      </c>
    </row>
    <row r="728" spans="1:13" ht="20.25" hidden="1" x14ac:dyDescent="0.25">
      <c r="A728" s="751" t="s">
        <v>552</v>
      </c>
      <c r="B728" s="748"/>
      <c r="C728" s="745" t="s">
        <v>1094</v>
      </c>
      <c r="D728" s="928"/>
      <c r="E728" s="1268"/>
      <c r="F728" s="1269"/>
      <c r="G728" s="1269"/>
      <c r="H728" s="1269"/>
      <c r="I728" s="1270"/>
      <c r="J728" s="1270"/>
      <c r="K728" s="1270"/>
      <c r="L728" s="1271"/>
      <c r="M728" s="750">
        <f t="shared" si="19"/>
        <v>0</v>
      </c>
    </row>
    <row r="729" spans="1:13" ht="20.25" hidden="1" x14ac:dyDescent="0.25">
      <c r="A729" s="751" t="s">
        <v>553</v>
      </c>
      <c r="B729" s="748"/>
      <c r="C729" s="745" t="s">
        <v>1095</v>
      </c>
      <c r="D729" s="928"/>
      <c r="E729" s="1268"/>
      <c r="F729" s="1269"/>
      <c r="G729" s="1269"/>
      <c r="H729" s="1269"/>
      <c r="I729" s="1270"/>
      <c r="J729" s="1270"/>
      <c r="K729" s="1270"/>
      <c r="L729" s="1271"/>
      <c r="M729" s="750">
        <f t="shared" si="19"/>
        <v>0</v>
      </c>
    </row>
    <row r="730" spans="1:13" ht="20.25" hidden="1" x14ac:dyDescent="0.25">
      <c r="A730" s="751" t="s">
        <v>554</v>
      </c>
      <c r="B730" s="748"/>
      <c r="C730" s="745" t="s">
        <v>1096</v>
      </c>
      <c r="D730" s="928"/>
      <c r="E730" s="1268"/>
      <c r="F730" s="1269"/>
      <c r="G730" s="1269"/>
      <c r="H730" s="1269"/>
      <c r="I730" s="1270"/>
      <c r="J730" s="1270"/>
      <c r="K730" s="1270"/>
      <c r="L730" s="1271"/>
      <c r="M730" s="750">
        <f t="shared" si="19"/>
        <v>0</v>
      </c>
    </row>
    <row r="731" spans="1:13" ht="20.25" hidden="1" x14ac:dyDescent="0.25">
      <c r="A731" s="751" t="s">
        <v>555</v>
      </c>
      <c r="B731" s="748"/>
      <c r="C731" s="745" t="s">
        <v>1097</v>
      </c>
      <c r="D731" s="928"/>
      <c r="E731" s="1268"/>
      <c r="F731" s="1269"/>
      <c r="G731" s="1269"/>
      <c r="H731" s="1269"/>
      <c r="I731" s="1270"/>
      <c r="J731" s="1270"/>
      <c r="K731" s="1270"/>
      <c r="L731" s="1271"/>
      <c r="M731" s="750">
        <f t="shared" si="19"/>
        <v>0</v>
      </c>
    </row>
    <row r="732" spans="1:13" ht="20.25" hidden="1" x14ac:dyDescent="0.25">
      <c r="A732" s="751" t="s">
        <v>556</v>
      </c>
      <c r="B732" s="748"/>
      <c r="C732" s="745" t="s">
        <v>1098</v>
      </c>
      <c r="D732" s="928"/>
      <c r="E732" s="1268"/>
      <c r="F732" s="1269"/>
      <c r="G732" s="1269"/>
      <c r="H732" s="1269"/>
      <c r="I732" s="1270"/>
      <c r="J732" s="1270"/>
      <c r="K732" s="1270"/>
      <c r="L732" s="1271"/>
      <c r="M732" s="750">
        <f t="shared" si="19"/>
        <v>0</v>
      </c>
    </row>
    <row r="733" spans="1:13" ht="20.25" hidden="1" x14ac:dyDescent="0.25">
      <c r="A733" s="751" t="s">
        <v>557</v>
      </c>
      <c r="B733" s="748"/>
      <c r="C733" s="745" t="s">
        <v>1099</v>
      </c>
      <c r="D733" s="928"/>
      <c r="E733" s="1268"/>
      <c r="F733" s="1269"/>
      <c r="G733" s="1269"/>
      <c r="H733" s="1269"/>
      <c r="I733" s="1270"/>
      <c r="J733" s="1270"/>
      <c r="K733" s="1270"/>
      <c r="L733" s="1271"/>
      <c r="M733" s="750">
        <f t="shared" si="19"/>
        <v>0</v>
      </c>
    </row>
    <row r="734" spans="1:13" ht="20.25" hidden="1" x14ac:dyDescent="0.25">
      <c r="A734" s="751" t="s">
        <v>558</v>
      </c>
      <c r="B734" s="748"/>
      <c r="C734" s="745" t="s">
        <v>1100</v>
      </c>
      <c r="D734" s="928"/>
      <c r="E734" s="1268"/>
      <c r="F734" s="1269"/>
      <c r="G734" s="1269"/>
      <c r="H734" s="1269"/>
      <c r="I734" s="1270"/>
      <c r="J734" s="1270"/>
      <c r="K734" s="1270"/>
      <c r="L734" s="1271"/>
      <c r="M734" s="750">
        <f t="shared" si="19"/>
        <v>0</v>
      </c>
    </row>
    <row r="735" spans="1:13" ht="20.25" hidden="1" x14ac:dyDescent="0.25">
      <c r="A735" s="751" t="s">
        <v>559</v>
      </c>
      <c r="B735" s="748"/>
      <c r="C735" s="745" t="s">
        <v>1101</v>
      </c>
      <c r="D735" s="928"/>
      <c r="E735" s="1268"/>
      <c r="F735" s="1269"/>
      <c r="G735" s="1269"/>
      <c r="H735" s="1269"/>
      <c r="I735" s="1270"/>
      <c r="J735" s="1270"/>
      <c r="K735" s="1270"/>
      <c r="L735" s="1271"/>
      <c r="M735" s="750">
        <f t="shared" si="19"/>
        <v>0</v>
      </c>
    </row>
    <row r="736" spans="1:13" ht="20.25" hidden="1" x14ac:dyDescent="0.25">
      <c r="A736" s="751" t="s">
        <v>560</v>
      </c>
      <c r="B736" s="748"/>
      <c r="C736" s="745" t="s">
        <v>1102</v>
      </c>
      <c r="D736" s="928"/>
      <c r="E736" s="1268"/>
      <c r="F736" s="1269"/>
      <c r="G736" s="1269"/>
      <c r="H736" s="1269"/>
      <c r="I736" s="1270"/>
      <c r="J736" s="1270"/>
      <c r="K736" s="1270"/>
      <c r="L736" s="1271"/>
      <c r="M736" s="750">
        <f t="shared" si="19"/>
        <v>0</v>
      </c>
    </row>
    <row r="737" spans="1:13" ht="20.25" hidden="1" x14ac:dyDescent="0.25">
      <c r="A737" s="751" t="s">
        <v>561</v>
      </c>
      <c r="B737" s="748"/>
      <c r="C737" s="745" t="s">
        <v>1103</v>
      </c>
      <c r="D737" s="928"/>
      <c r="E737" s="1268"/>
      <c r="F737" s="1269"/>
      <c r="G737" s="1269"/>
      <c r="H737" s="1269"/>
      <c r="I737" s="1270"/>
      <c r="J737" s="1270"/>
      <c r="K737" s="1270"/>
      <c r="L737" s="1271"/>
      <c r="M737" s="750">
        <f t="shared" si="19"/>
        <v>0</v>
      </c>
    </row>
    <row r="738" spans="1:13" ht="20.25" hidden="1" x14ac:dyDescent="0.25">
      <c r="A738" s="751" t="s">
        <v>562</v>
      </c>
      <c r="B738" s="748"/>
      <c r="C738" s="745" t="s">
        <v>1104</v>
      </c>
      <c r="D738" s="928"/>
      <c r="E738" s="1268"/>
      <c r="F738" s="1269"/>
      <c r="G738" s="1269"/>
      <c r="H738" s="1269"/>
      <c r="I738" s="1270"/>
      <c r="J738" s="1270"/>
      <c r="K738" s="1270"/>
      <c r="L738" s="1271"/>
      <c r="M738" s="750">
        <f t="shared" si="19"/>
        <v>0</v>
      </c>
    </row>
    <row r="739" spans="1:13" ht="20.25" hidden="1" x14ac:dyDescent="0.25">
      <c r="A739" s="751" t="s">
        <v>563</v>
      </c>
      <c r="B739" s="748"/>
      <c r="C739" s="745" t="s">
        <v>1105</v>
      </c>
      <c r="D739" s="928"/>
      <c r="E739" s="1268"/>
      <c r="F739" s="1269"/>
      <c r="G739" s="1269"/>
      <c r="H739" s="1269"/>
      <c r="I739" s="1270"/>
      <c r="J739" s="1270"/>
      <c r="K739" s="1270"/>
      <c r="L739" s="1271"/>
      <c r="M739" s="750">
        <f t="shared" si="19"/>
        <v>0</v>
      </c>
    </row>
    <row r="740" spans="1:13" ht="20.25" hidden="1" x14ac:dyDescent="0.25">
      <c r="A740" s="751" t="s">
        <v>564</v>
      </c>
      <c r="B740" s="748"/>
      <c r="C740" s="745" t="s">
        <v>1106</v>
      </c>
      <c r="D740" s="928"/>
      <c r="E740" s="1268"/>
      <c r="F740" s="1269"/>
      <c r="G740" s="1269"/>
      <c r="H740" s="1269"/>
      <c r="I740" s="1270"/>
      <c r="J740" s="1270"/>
      <c r="K740" s="1270"/>
      <c r="L740" s="1271"/>
      <c r="M740" s="750">
        <f t="shared" si="19"/>
        <v>0</v>
      </c>
    </row>
    <row r="741" spans="1:13" ht="20.25" hidden="1" x14ac:dyDescent="0.25">
      <c r="A741" s="751" t="s">
        <v>565</v>
      </c>
      <c r="B741" s="748"/>
      <c r="C741" s="745" t="s">
        <v>1107</v>
      </c>
      <c r="D741" s="928"/>
      <c r="E741" s="1268"/>
      <c r="F741" s="1269"/>
      <c r="G741" s="1269"/>
      <c r="H741" s="1269"/>
      <c r="I741" s="1270"/>
      <c r="J741" s="1270"/>
      <c r="K741" s="1270"/>
      <c r="L741" s="1271"/>
      <c r="M741" s="750">
        <f t="shared" si="19"/>
        <v>0</v>
      </c>
    </row>
    <row r="742" spans="1:13" ht="20.25" hidden="1" x14ac:dyDescent="0.25">
      <c r="A742" s="751" t="s">
        <v>566</v>
      </c>
      <c r="B742" s="748"/>
      <c r="C742" s="745" t="s">
        <v>1108</v>
      </c>
      <c r="D742" s="928"/>
      <c r="E742" s="1268"/>
      <c r="F742" s="1269"/>
      <c r="G742" s="1269"/>
      <c r="H742" s="1269"/>
      <c r="I742" s="1270"/>
      <c r="J742" s="1270"/>
      <c r="K742" s="1270"/>
      <c r="L742" s="1271"/>
      <c r="M742" s="750">
        <f t="shared" si="19"/>
        <v>0</v>
      </c>
    </row>
    <row r="743" spans="1:13" ht="20.25" hidden="1" x14ac:dyDescent="0.25">
      <c r="A743" s="751" t="s">
        <v>567</v>
      </c>
      <c r="B743" s="748"/>
      <c r="C743" s="745" t="s">
        <v>1109</v>
      </c>
      <c r="D743" s="928"/>
      <c r="E743" s="1268"/>
      <c r="F743" s="1269"/>
      <c r="G743" s="1269"/>
      <c r="H743" s="1269"/>
      <c r="I743" s="1270"/>
      <c r="J743" s="1270"/>
      <c r="K743" s="1270"/>
      <c r="L743" s="1271"/>
      <c r="M743" s="750">
        <f t="shared" si="19"/>
        <v>0</v>
      </c>
    </row>
    <row r="744" spans="1:13" ht="20.25" hidden="1" x14ac:dyDescent="0.25">
      <c r="A744" s="751" t="s">
        <v>780</v>
      </c>
      <c r="B744" s="748"/>
      <c r="C744" s="745" t="s">
        <v>1110</v>
      </c>
      <c r="D744" s="928"/>
      <c r="E744" s="1268"/>
      <c r="F744" s="1269"/>
      <c r="G744" s="1269"/>
      <c r="H744" s="1269"/>
      <c r="I744" s="1270"/>
      <c r="J744" s="1270"/>
      <c r="K744" s="1270"/>
      <c r="L744" s="1271"/>
      <c r="M744" s="750">
        <f t="shared" si="19"/>
        <v>0</v>
      </c>
    </row>
    <row r="745" spans="1:13" ht="20.25" hidden="1" x14ac:dyDescent="0.25">
      <c r="A745" s="751" t="s">
        <v>781</v>
      </c>
      <c r="B745" s="748"/>
      <c r="C745" s="745" t="s">
        <v>1111</v>
      </c>
      <c r="D745" s="928"/>
      <c r="E745" s="1268"/>
      <c r="F745" s="1269"/>
      <c r="G745" s="1269"/>
      <c r="H745" s="1269"/>
      <c r="I745" s="1270"/>
      <c r="J745" s="1270"/>
      <c r="K745" s="1270"/>
      <c r="L745" s="1271"/>
      <c r="M745" s="750">
        <f t="shared" si="19"/>
        <v>0</v>
      </c>
    </row>
    <row r="746" spans="1:13" ht="20.25" hidden="1" x14ac:dyDescent="0.25">
      <c r="A746" s="751" t="s">
        <v>782</v>
      </c>
      <c r="B746" s="748"/>
      <c r="C746" s="745" t="s">
        <v>1112</v>
      </c>
      <c r="D746" s="928"/>
      <c r="E746" s="1268"/>
      <c r="F746" s="1269"/>
      <c r="G746" s="1269"/>
      <c r="H746" s="1269"/>
      <c r="I746" s="1270"/>
      <c r="J746" s="1270"/>
      <c r="K746" s="1270"/>
      <c r="L746" s="1271"/>
      <c r="M746" s="750">
        <f t="shared" si="19"/>
        <v>0</v>
      </c>
    </row>
    <row r="747" spans="1:13" ht="20.25" hidden="1" x14ac:dyDescent="0.25">
      <c r="A747" s="751" t="s">
        <v>783</v>
      </c>
      <c r="B747" s="748"/>
      <c r="C747" s="745" t="s">
        <v>1113</v>
      </c>
      <c r="D747" s="928"/>
      <c r="E747" s="1268"/>
      <c r="F747" s="1269"/>
      <c r="G747" s="1269"/>
      <c r="H747" s="1269"/>
      <c r="I747" s="1270"/>
      <c r="J747" s="1270"/>
      <c r="K747" s="1270"/>
      <c r="L747" s="1271"/>
      <c r="M747" s="750">
        <f t="shared" si="19"/>
        <v>0</v>
      </c>
    </row>
    <row r="748" spans="1:13" ht="20.25" hidden="1" x14ac:dyDescent="0.25">
      <c r="A748" s="751" t="s">
        <v>784</v>
      </c>
      <c r="B748" s="748"/>
      <c r="C748" s="745" t="s">
        <v>1114</v>
      </c>
      <c r="D748" s="928"/>
      <c r="E748" s="1268"/>
      <c r="F748" s="1269"/>
      <c r="G748" s="1269"/>
      <c r="H748" s="1269"/>
      <c r="I748" s="1270"/>
      <c r="J748" s="1270"/>
      <c r="K748" s="1270"/>
      <c r="L748" s="1271"/>
      <c r="M748" s="750">
        <f t="shared" si="19"/>
        <v>0</v>
      </c>
    </row>
    <row r="749" spans="1:13" ht="20.25" hidden="1" x14ac:dyDescent="0.25">
      <c r="A749" s="751" t="s">
        <v>785</v>
      </c>
      <c r="B749" s="748"/>
      <c r="C749" s="745" t="s">
        <v>1115</v>
      </c>
      <c r="D749" s="928"/>
      <c r="E749" s="1268"/>
      <c r="F749" s="1269"/>
      <c r="G749" s="1269"/>
      <c r="H749" s="1269"/>
      <c r="I749" s="1270"/>
      <c r="J749" s="1270"/>
      <c r="K749" s="1270"/>
      <c r="L749" s="1271"/>
      <c r="M749" s="750">
        <f t="shared" si="19"/>
        <v>0</v>
      </c>
    </row>
    <row r="750" spans="1:13" ht="20.25" x14ac:dyDescent="0.25">
      <c r="A750" s="751" t="s">
        <v>910</v>
      </c>
      <c r="B750" s="748"/>
      <c r="C750" s="745" t="s">
        <v>1116</v>
      </c>
      <c r="D750" s="311">
        <f>2684691+1027252</f>
        <v>3711943</v>
      </c>
      <c r="E750" s="1268"/>
      <c r="F750" s="1269"/>
      <c r="G750" s="1269"/>
      <c r="H750" s="1269"/>
      <c r="I750" s="1270"/>
      <c r="J750" s="1270"/>
      <c r="K750" s="1270"/>
      <c r="L750" s="1271"/>
      <c r="M750" s="750">
        <f t="shared" si="19"/>
        <v>3711943</v>
      </c>
    </row>
    <row r="751" spans="1:13" ht="20.25" x14ac:dyDescent="0.25">
      <c r="A751" s="751" t="s">
        <v>911</v>
      </c>
      <c r="B751" s="748"/>
      <c r="C751" s="745" t="s">
        <v>1117</v>
      </c>
      <c r="D751" s="311">
        <v>734371</v>
      </c>
      <c r="E751" s="1268"/>
      <c r="F751" s="1269"/>
      <c r="G751" s="1269"/>
      <c r="H751" s="1269"/>
      <c r="I751" s="1270"/>
      <c r="J751" s="1270"/>
      <c r="K751" s="1270"/>
      <c r="L751" s="1271"/>
      <c r="M751" s="750">
        <f t="shared" si="19"/>
        <v>734371</v>
      </c>
    </row>
    <row r="752" spans="1:13" ht="20.25" hidden="1" x14ac:dyDescent="0.25">
      <c r="A752" s="751" t="s">
        <v>1118</v>
      </c>
      <c r="B752" s="748"/>
      <c r="C752" s="745" t="s">
        <v>1119</v>
      </c>
      <c r="D752" s="928"/>
      <c r="E752" s="1268"/>
      <c r="F752" s="1269"/>
      <c r="G752" s="1269"/>
      <c r="H752" s="1269"/>
      <c r="I752" s="1270"/>
      <c r="J752" s="1270"/>
      <c r="K752" s="1270"/>
      <c r="L752" s="1271"/>
      <c r="M752" s="750">
        <f t="shared" si="19"/>
        <v>0</v>
      </c>
    </row>
    <row r="753" spans="1:13" ht="20.25" hidden="1" x14ac:dyDescent="0.25">
      <c r="A753" s="751" t="s">
        <v>1120</v>
      </c>
      <c r="B753" s="748"/>
      <c r="C753" s="745" t="s">
        <v>1121</v>
      </c>
      <c r="D753" s="928"/>
      <c r="E753" s="1268"/>
      <c r="F753" s="1269"/>
      <c r="G753" s="1269"/>
      <c r="H753" s="1269"/>
      <c r="I753" s="1270"/>
      <c r="J753" s="1270"/>
      <c r="K753" s="1270"/>
      <c r="L753" s="1271"/>
      <c r="M753" s="750">
        <f t="shared" si="19"/>
        <v>0</v>
      </c>
    </row>
    <row r="754" spans="1:13" ht="20.25" hidden="1" x14ac:dyDescent="0.25">
      <c r="A754" s="751" t="s">
        <v>1122</v>
      </c>
      <c r="B754" s="748"/>
      <c r="C754" s="745" t="s">
        <v>1123</v>
      </c>
      <c r="D754" s="928"/>
      <c r="E754" s="1268"/>
      <c r="F754" s="1269"/>
      <c r="G754" s="1269"/>
      <c r="H754" s="1269"/>
      <c r="I754" s="1270"/>
      <c r="J754" s="1270"/>
      <c r="K754" s="1270"/>
      <c r="L754" s="1271"/>
      <c r="M754" s="750">
        <f t="shared" si="19"/>
        <v>0</v>
      </c>
    </row>
    <row r="755" spans="1:13" ht="20.25" hidden="1" x14ac:dyDescent="0.25">
      <c r="A755" s="751" t="s">
        <v>1124</v>
      </c>
      <c r="B755" s="748"/>
      <c r="C755" s="745" t="s">
        <v>1125</v>
      </c>
      <c r="D755" s="928"/>
      <c r="E755" s="1268"/>
      <c r="F755" s="1269"/>
      <c r="G755" s="1269"/>
      <c r="H755" s="1269"/>
      <c r="I755" s="1270"/>
      <c r="J755" s="1270"/>
      <c r="K755" s="1270"/>
      <c r="L755" s="1271"/>
      <c r="M755" s="750">
        <f t="shared" si="19"/>
        <v>0</v>
      </c>
    </row>
    <row r="756" spans="1:13" ht="20.25" hidden="1" x14ac:dyDescent="0.25">
      <c r="A756" s="751" t="s">
        <v>1126</v>
      </c>
      <c r="B756" s="748"/>
      <c r="C756" s="745" t="s">
        <v>1127</v>
      </c>
      <c r="D756" s="928"/>
      <c r="E756" s="1268"/>
      <c r="F756" s="1269"/>
      <c r="G756" s="1269"/>
      <c r="H756" s="1269"/>
      <c r="I756" s="1270"/>
      <c r="J756" s="1270"/>
      <c r="K756" s="1270"/>
      <c r="L756" s="1271"/>
      <c r="M756" s="750">
        <f t="shared" si="19"/>
        <v>0</v>
      </c>
    </row>
    <row r="757" spans="1:13" ht="20.25" hidden="1" x14ac:dyDescent="0.25">
      <c r="A757" s="751" t="s">
        <v>1128</v>
      </c>
      <c r="B757" s="748"/>
      <c r="C757" s="745" t="s">
        <v>1129</v>
      </c>
      <c r="D757" s="928"/>
      <c r="E757" s="1268"/>
      <c r="F757" s="1269"/>
      <c r="G757" s="1269"/>
      <c r="H757" s="1269"/>
      <c r="I757" s="1270"/>
      <c r="J757" s="1270"/>
      <c r="K757" s="1270"/>
      <c r="L757" s="1271"/>
      <c r="M757" s="750">
        <f t="shared" si="19"/>
        <v>0</v>
      </c>
    </row>
    <row r="758" spans="1:13" ht="20.25" hidden="1" x14ac:dyDescent="0.25">
      <c r="A758" s="751" t="s">
        <v>1130</v>
      </c>
      <c r="B758" s="748"/>
      <c r="C758" s="745" t="s">
        <v>1131</v>
      </c>
      <c r="D758" s="928"/>
      <c r="E758" s="1268"/>
      <c r="F758" s="1269"/>
      <c r="G758" s="1269"/>
      <c r="H758" s="1269"/>
      <c r="I758" s="1270"/>
      <c r="J758" s="1270"/>
      <c r="K758" s="1270"/>
      <c r="L758" s="1271"/>
      <c r="M758" s="750">
        <f t="shared" si="19"/>
        <v>0</v>
      </c>
    </row>
    <row r="759" spans="1:13" ht="20.25" hidden="1" x14ac:dyDescent="0.25">
      <c r="A759" s="751" t="s">
        <v>1132</v>
      </c>
      <c r="B759" s="748"/>
      <c r="C759" s="745" t="s">
        <v>1133</v>
      </c>
      <c r="D759" s="928"/>
      <c r="E759" s="1268"/>
      <c r="F759" s="1269"/>
      <c r="G759" s="1269"/>
      <c r="H759" s="1269"/>
      <c r="I759" s="1270"/>
      <c r="J759" s="1270"/>
      <c r="K759" s="1270"/>
      <c r="L759" s="1271"/>
      <c r="M759" s="750">
        <f t="shared" si="19"/>
        <v>0</v>
      </c>
    </row>
    <row r="760" spans="1:13" ht="20.25" hidden="1" x14ac:dyDescent="0.25">
      <c r="A760" s="751" t="s">
        <v>1134</v>
      </c>
      <c r="B760" s="748"/>
      <c r="C760" s="745" t="s">
        <v>1135</v>
      </c>
      <c r="D760" s="928"/>
      <c r="E760" s="1268"/>
      <c r="F760" s="1269"/>
      <c r="G760" s="1269"/>
      <c r="H760" s="1269"/>
      <c r="I760" s="1270"/>
      <c r="J760" s="1270"/>
      <c r="K760" s="1270"/>
      <c r="L760" s="1271"/>
      <c r="M760" s="750">
        <f t="shared" si="19"/>
        <v>0</v>
      </c>
    </row>
    <row r="761" spans="1:13" ht="20.25" hidden="1" x14ac:dyDescent="0.25">
      <c r="A761" s="751" t="s">
        <v>1136</v>
      </c>
      <c r="B761" s="748"/>
      <c r="C761" s="745" t="s">
        <v>1137</v>
      </c>
      <c r="D761" s="928"/>
      <c r="E761" s="1268"/>
      <c r="F761" s="1269"/>
      <c r="G761" s="1269"/>
      <c r="H761" s="1269"/>
      <c r="I761" s="1270"/>
      <c r="J761" s="1270"/>
      <c r="K761" s="1270"/>
      <c r="L761" s="1271"/>
      <c r="M761" s="750">
        <f t="shared" si="19"/>
        <v>0</v>
      </c>
    </row>
    <row r="762" spans="1:13" ht="20.25" hidden="1" x14ac:dyDescent="0.25">
      <c r="A762" s="751" t="s">
        <v>1138</v>
      </c>
      <c r="B762" s="748"/>
      <c r="C762" s="745" t="s">
        <v>1139</v>
      </c>
      <c r="D762" s="928"/>
      <c r="E762" s="1268"/>
      <c r="F762" s="1269"/>
      <c r="G762" s="1269"/>
      <c r="H762" s="1269"/>
      <c r="I762" s="1270"/>
      <c r="J762" s="1270"/>
      <c r="K762" s="1270"/>
      <c r="L762" s="1271"/>
      <c r="M762" s="750">
        <f t="shared" si="19"/>
        <v>0</v>
      </c>
    </row>
    <row r="763" spans="1:13" ht="20.25" hidden="1" x14ac:dyDescent="0.25">
      <c r="A763" s="751" t="s">
        <v>1140</v>
      </c>
      <c r="B763" s="748"/>
      <c r="C763" s="745" t="s">
        <v>1141</v>
      </c>
      <c r="D763" s="928"/>
      <c r="E763" s="1268"/>
      <c r="F763" s="1269"/>
      <c r="G763" s="1269"/>
      <c r="H763" s="1269"/>
      <c r="I763" s="1270"/>
      <c r="J763" s="1270"/>
      <c r="K763" s="1270"/>
      <c r="L763" s="1271"/>
      <c r="M763" s="750">
        <f t="shared" si="19"/>
        <v>0</v>
      </c>
    </row>
    <row r="764" spans="1:13" ht="20.25" hidden="1" x14ac:dyDescent="0.25">
      <c r="A764" s="751" t="s">
        <v>1142</v>
      </c>
      <c r="B764" s="748"/>
      <c r="C764" s="745" t="s">
        <v>1143</v>
      </c>
      <c r="D764" s="928"/>
      <c r="E764" s="1268"/>
      <c r="F764" s="1269"/>
      <c r="G764" s="1269"/>
      <c r="H764" s="1269"/>
      <c r="I764" s="1270"/>
      <c r="J764" s="1270"/>
      <c r="K764" s="1270"/>
      <c r="L764" s="1271"/>
      <c r="M764" s="750">
        <f t="shared" si="19"/>
        <v>0</v>
      </c>
    </row>
    <row r="765" spans="1:13" ht="20.25" hidden="1" x14ac:dyDescent="0.25">
      <c r="A765" s="751" t="s">
        <v>1144</v>
      </c>
      <c r="B765" s="748"/>
      <c r="C765" s="745" t="s">
        <v>1145</v>
      </c>
      <c r="D765" s="928"/>
      <c r="E765" s="1268"/>
      <c r="F765" s="1269"/>
      <c r="G765" s="1269"/>
      <c r="H765" s="1269"/>
      <c r="I765" s="1270"/>
      <c r="J765" s="1270"/>
      <c r="K765" s="1270"/>
      <c r="L765" s="1271"/>
      <c r="M765" s="750">
        <f t="shared" si="19"/>
        <v>0</v>
      </c>
    </row>
    <row r="766" spans="1:13" ht="20.25" hidden="1" x14ac:dyDescent="0.25">
      <c r="A766" s="751" t="s">
        <v>1146</v>
      </c>
      <c r="B766" s="748"/>
      <c r="C766" s="745" t="s">
        <v>1147</v>
      </c>
      <c r="D766" s="928"/>
      <c r="E766" s="1268"/>
      <c r="F766" s="1269"/>
      <c r="G766" s="1269"/>
      <c r="H766" s="1269"/>
      <c r="I766" s="1270"/>
      <c r="J766" s="1270"/>
      <c r="K766" s="1270"/>
      <c r="L766" s="1271"/>
      <c r="M766" s="750">
        <f t="shared" si="19"/>
        <v>0</v>
      </c>
    </row>
    <row r="767" spans="1:13" ht="20.25" hidden="1" x14ac:dyDescent="0.25">
      <c r="A767" s="751" t="s">
        <v>1148</v>
      </c>
      <c r="B767" s="748"/>
      <c r="C767" s="745" t="s">
        <v>1149</v>
      </c>
      <c r="D767" s="928"/>
      <c r="E767" s="1268"/>
      <c r="F767" s="1269"/>
      <c r="G767" s="1269"/>
      <c r="H767" s="1269"/>
      <c r="I767" s="1270"/>
      <c r="J767" s="1270"/>
      <c r="K767" s="1270"/>
      <c r="L767" s="1271"/>
      <c r="M767" s="750">
        <f t="shared" si="19"/>
        <v>0</v>
      </c>
    </row>
    <row r="768" spans="1:13" ht="20.25" hidden="1" x14ac:dyDescent="0.25">
      <c r="A768" s="748"/>
      <c r="B768" s="748"/>
      <c r="C768" s="85" t="s">
        <v>168</v>
      </c>
      <c r="D768" s="311">
        <f>571971-25432-546539</f>
        <v>0</v>
      </c>
      <c r="E768" s="1268"/>
      <c r="F768" s="1269"/>
      <c r="G768" s="1269"/>
      <c r="H768" s="1269"/>
      <c r="I768" s="1270"/>
      <c r="J768" s="1270"/>
      <c r="K768" s="1270"/>
      <c r="L768" s="1271"/>
      <c r="M768" s="750">
        <f t="shared" si="19"/>
        <v>0</v>
      </c>
    </row>
    <row r="769" spans="1:15" ht="18.75" x14ac:dyDescent="0.25">
      <c r="A769" s="1772" t="s">
        <v>850</v>
      </c>
      <c r="B769" s="1773">
        <v>9270</v>
      </c>
      <c r="C769" s="1774" t="s">
        <v>1389</v>
      </c>
      <c r="D769" s="1089">
        <f>SUM(D773:D839)</f>
        <v>26243800</v>
      </c>
      <c r="E769" s="1782"/>
      <c r="F769" s="1783"/>
      <c r="G769" s="1783"/>
      <c r="H769" s="1783"/>
      <c r="I769" s="1200"/>
      <c r="J769" s="1200"/>
      <c r="K769" s="1200"/>
      <c r="L769" s="1201"/>
      <c r="M769" s="750">
        <f t="shared" si="19"/>
        <v>26243800</v>
      </c>
    </row>
    <row r="770" spans="1:15" ht="88.15" customHeight="1" x14ac:dyDescent="0.25">
      <c r="A770" s="1772"/>
      <c r="B770" s="1773"/>
      <c r="C770" s="1774"/>
      <c r="D770" s="1099"/>
      <c r="E770" s="1784"/>
      <c r="F770" s="1785"/>
      <c r="G770" s="1785"/>
      <c r="H770" s="1785"/>
      <c r="I770" s="1197"/>
      <c r="J770" s="1197"/>
      <c r="K770" s="1197"/>
      <c r="L770" s="1198"/>
      <c r="M770" s="750">
        <v>1</v>
      </c>
      <c r="O770" s="824" t="b">
        <f>D769=дод3!E151</f>
        <v>1</v>
      </c>
    </row>
    <row r="771" spans="1:15" ht="35.450000000000003" customHeight="1" x14ac:dyDescent="0.25">
      <c r="A771" s="1772"/>
      <c r="B771" s="1773"/>
      <c r="C771" s="1774"/>
      <c r="D771" s="1099"/>
      <c r="E771" s="1784"/>
      <c r="F771" s="1785"/>
      <c r="G771" s="1785"/>
      <c r="H771" s="1785"/>
      <c r="I771" s="1197"/>
      <c r="J771" s="1197"/>
      <c r="K771" s="1197"/>
      <c r="L771" s="1198"/>
      <c r="M771" s="750">
        <v>1</v>
      </c>
    </row>
    <row r="772" spans="1:15" ht="18.75" x14ac:dyDescent="0.25">
      <c r="A772" s="1772"/>
      <c r="B772" s="1773"/>
      <c r="C772" s="1774"/>
      <c r="D772" s="1098"/>
      <c r="E772" s="1784"/>
      <c r="F772" s="1785"/>
      <c r="G772" s="1785"/>
      <c r="H772" s="1785"/>
      <c r="I772" s="1197"/>
      <c r="J772" s="1197"/>
      <c r="K772" s="1197"/>
      <c r="L772" s="1198"/>
      <c r="M772" s="750">
        <v>1</v>
      </c>
    </row>
    <row r="773" spans="1:15" hidden="1" x14ac:dyDescent="0.25">
      <c r="A773" s="751" t="s">
        <v>526</v>
      </c>
      <c r="B773" s="751"/>
      <c r="C773" s="745" t="s">
        <v>1060</v>
      </c>
      <c r="D773" s="1113"/>
      <c r="E773" s="1730"/>
      <c r="F773" s="1731"/>
      <c r="G773" s="1731"/>
      <c r="H773" s="1731"/>
      <c r="I773" s="1175"/>
      <c r="J773" s="1175"/>
      <c r="K773" s="1175"/>
      <c r="L773" s="1180"/>
      <c r="M773" s="750">
        <f t="shared" si="19"/>
        <v>0</v>
      </c>
    </row>
    <row r="774" spans="1:15" hidden="1" x14ac:dyDescent="0.25">
      <c r="A774" s="751" t="s">
        <v>527</v>
      </c>
      <c r="B774" s="751"/>
      <c r="C774" s="745" t="s">
        <v>1069</v>
      </c>
      <c r="D774" s="1113"/>
      <c r="E774" s="1730"/>
      <c r="F774" s="1731"/>
      <c r="G774" s="1731"/>
      <c r="H774" s="1731"/>
      <c r="I774" s="1175"/>
      <c r="J774" s="1175"/>
      <c r="K774" s="1175"/>
      <c r="L774" s="1180"/>
      <c r="M774" s="750">
        <f t="shared" si="19"/>
        <v>0</v>
      </c>
    </row>
    <row r="775" spans="1:15" hidden="1" x14ac:dyDescent="0.25">
      <c r="A775" s="751" t="s">
        <v>528</v>
      </c>
      <c r="B775" s="751"/>
      <c r="C775" s="745" t="s">
        <v>1070</v>
      </c>
      <c r="D775" s="1113"/>
      <c r="E775" s="1730"/>
      <c r="F775" s="1731"/>
      <c r="G775" s="1731"/>
      <c r="H775" s="1731"/>
      <c r="I775" s="1175"/>
      <c r="J775" s="1175"/>
      <c r="K775" s="1175"/>
      <c r="L775" s="1180"/>
      <c r="M775" s="750">
        <f t="shared" ref="M775:M838" si="20">SUM(D775:H775)</f>
        <v>0</v>
      </c>
    </row>
    <row r="776" spans="1:15" hidden="1" x14ac:dyDescent="0.25">
      <c r="A776" s="751" t="s">
        <v>529</v>
      </c>
      <c r="B776" s="751"/>
      <c r="C776" s="745" t="s">
        <v>1071</v>
      </c>
      <c r="D776" s="1113"/>
      <c r="E776" s="1730"/>
      <c r="F776" s="1731"/>
      <c r="G776" s="1731"/>
      <c r="H776" s="1731"/>
      <c r="I776" s="1175"/>
      <c r="J776" s="1175"/>
      <c r="K776" s="1175"/>
      <c r="L776" s="1180"/>
      <c r="M776" s="750">
        <f t="shared" si="20"/>
        <v>0</v>
      </c>
    </row>
    <row r="777" spans="1:15" hidden="1" x14ac:dyDescent="0.25">
      <c r="A777" s="751" t="s">
        <v>530</v>
      </c>
      <c r="B777" s="751"/>
      <c r="C777" s="745" t="s">
        <v>1072</v>
      </c>
      <c r="D777" s="1113"/>
      <c r="E777" s="1730"/>
      <c r="F777" s="1731"/>
      <c r="G777" s="1731"/>
      <c r="H777" s="1731"/>
      <c r="I777" s="1175"/>
      <c r="J777" s="1175"/>
      <c r="K777" s="1175"/>
      <c r="L777" s="1180"/>
      <c r="M777" s="750">
        <f t="shared" si="20"/>
        <v>0</v>
      </c>
    </row>
    <row r="778" spans="1:15" hidden="1" x14ac:dyDescent="0.25">
      <c r="A778" s="751" t="s">
        <v>531</v>
      </c>
      <c r="B778" s="751"/>
      <c r="C778" s="745" t="s">
        <v>1073</v>
      </c>
      <c r="D778" s="1113"/>
      <c r="E778" s="1730"/>
      <c r="F778" s="1731"/>
      <c r="G778" s="1731"/>
      <c r="H778" s="1731"/>
      <c r="I778" s="1175"/>
      <c r="J778" s="1175"/>
      <c r="K778" s="1175"/>
      <c r="L778" s="1180"/>
      <c r="M778" s="750">
        <f t="shared" si="20"/>
        <v>0</v>
      </c>
    </row>
    <row r="779" spans="1:15" hidden="1" x14ac:dyDescent="0.25">
      <c r="A779" s="751" t="s">
        <v>532</v>
      </c>
      <c r="B779" s="751"/>
      <c r="C779" s="745" t="s">
        <v>1074</v>
      </c>
      <c r="D779" s="1113"/>
      <c r="E779" s="1730"/>
      <c r="F779" s="1731"/>
      <c r="G779" s="1731"/>
      <c r="H779" s="1731"/>
      <c r="I779" s="1175"/>
      <c r="J779" s="1175"/>
      <c r="K779" s="1175"/>
      <c r="L779" s="1180"/>
      <c r="M779" s="750">
        <f t="shared" si="20"/>
        <v>0</v>
      </c>
    </row>
    <row r="780" spans="1:15" x14ac:dyDescent="0.25">
      <c r="A780" s="751" t="s">
        <v>533</v>
      </c>
      <c r="B780" s="751"/>
      <c r="C780" s="745" t="s">
        <v>1075</v>
      </c>
      <c r="D780" s="1113">
        <v>3126765</v>
      </c>
      <c r="E780" s="1730"/>
      <c r="F780" s="1731"/>
      <c r="G780" s="1731"/>
      <c r="H780" s="1731"/>
      <c r="I780" s="1175"/>
      <c r="J780" s="1175"/>
      <c r="K780" s="1175"/>
      <c r="L780" s="1180"/>
      <c r="M780" s="750">
        <f t="shared" si="20"/>
        <v>3126765</v>
      </c>
    </row>
    <row r="781" spans="1:15" hidden="1" x14ac:dyDescent="0.25">
      <c r="A781" s="751" t="s">
        <v>534</v>
      </c>
      <c r="B781" s="751"/>
      <c r="C781" s="745" t="s">
        <v>1076</v>
      </c>
      <c r="D781" s="1113"/>
      <c r="E781" s="1730"/>
      <c r="F781" s="1731"/>
      <c r="G781" s="1731"/>
      <c r="H781" s="1731"/>
      <c r="I781" s="1175"/>
      <c r="J781" s="1175"/>
      <c r="K781" s="1175"/>
      <c r="L781" s="1180"/>
      <c r="M781" s="750">
        <f t="shared" si="20"/>
        <v>0</v>
      </c>
    </row>
    <row r="782" spans="1:15" hidden="1" x14ac:dyDescent="0.25">
      <c r="A782" s="751" t="s">
        <v>535</v>
      </c>
      <c r="B782" s="751"/>
      <c r="C782" s="745" t="s">
        <v>1077</v>
      </c>
      <c r="D782" s="1113"/>
      <c r="E782" s="1730"/>
      <c r="F782" s="1731"/>
      <c r="G782" s="1731"/>
      <c r="H782" s="1731"/>
      <c r="I782" s="1175"/>
      <c r="J782" s="1175"/>
      <c r="K782" s="1175"/>
      <c r="L782" s="1180"/>
      <c r="M782" s="750">
        <f t="shared" si="20"/>
        <v>0</v>
      </c>
    </row>
    <row r="783" spans="1:15" x14ac:dyDescent="0.25">
      <c r="A783" s="751" t="s">
        <v>536</v>
      </c>
      <c r="B783" s="751"/>
      <c r="C783" s="745" t="s">
        <v>1078</v>
      </c>
      <c r="D783" s="1113">
        <f>1951753+382540</f>
        <v>2334293</v>
      </c>
      <c r="E783" s="1730"/>
      <c r="F783" s="1731"/>
      <c r="G783" s="1731"/>
      <c r="H783" s="1731"/>
      <c r="I783" s="1175"/>
      <c r="J783" s="1175"/>
      <c r="K783" s="1175"/>
      <c r="L783" s="1180"/>
      <c r="M783" s="750">
        <f t="shared" si="20"/>
        <v>2334293</v>
      </c>
    </row>
    <row r="784" spans="1:15" x14ac:dyDescent="0.25">
      <c r="A784" s="751" t="s">
        <v>537</v>
      </c>
      <c r="B784" s="751"/>
      <c r="C784" s="745" t="s">
        <v>1079</v>
      </c>
      <c r="D784" s="1113">
        <v>382540</v>
      </c>
      <c r="E784" s="1730"/>
      <c r="F784" s="1731"/>
      <c r="G784" s="1731"/>
      <c r="H784" s="1731"/>
      <c r="I784" s="1175"/>
      <c r="J784" s="1175"/>
      <c r="K784" s="1175"/>
      <c r="L784" s="1180"/>
      <c r="M784" s="750">
        <f t="shared" si="20"/>
        <v>382540</v>
      </c>
    </row>
    <row r="785" spans="1:13" x14ac:dyDescent="0.25">
      <c r="A785" s="751" t="s">
        <v>538</v>
      </c>
      <c r="B785" s="751"/>
      <c r="C785" s="745" t="s">
        <v>1080</v>
      </c>
      <c r="D785" s="1113">
        <f>1871347+1147620+4207940</f>
        <v>7226907</v>
      </c>
      <c r="E785" s="1730"/>
      <c r="F785" s="1731"/>
      <c r="G785" s="1731"/>
      <c r="H785" s="1731"/>
      <c r="I785" s="1175"/>
      <c r="J785" s="1175"/>
      <c r="K785" s="1175"/>
      <c r="L785" s="1180"/>
      <c r="M785" s="750">
        <f t="shared" si="20"/>
        <v>7226907</v>
      </c>
    </row>
    <row r="786" spans="1:13" hidden="1" x14ac:dyDescent="0.25">
      <c r="A786" s="751" t="s">
        <v>539</v>
      </c>
      <c r="B786" s="751"/>
      <c r="C786" s="745" t="s">
        <v>1081</v>
      </c>
      <c r="D786" s="1113"/>
      <c r="E786" s="1730"/>
      <c r="F786" s="1731"/>
      <c r="G786" s="1731"/>
      <c r="H786" s="1731"/>
      <c r="I786" s="1175"/>
      <c r="J786" s="1175"/>
      <c r="K786" s="1175"/>
      <c r="L786" s="1180"/>
      <c r="M786" s="750">
        <f t="shared" si="20"/>
        <v>0</v>
      </c>
    </row>
    <row r="787" spans="1:13" x14ac:dyDescent="0.25">
      <c r="A787" s="751" t="s">
        <v>540</v>
      </c>
      <c r="B787" s="751"/>
      <c r="C787" s="745" t="s">
        <v>1082</v>
      </c>
      <c r="D787" s="1113">
        <v>267778</v>
      </c>
      <c r="E787" s="1730"/>
      <c r="F787" s="1731"/>
      <c r="G787" s="1731"/>
      <c r="H787" s="1731"/>
      <c r="I787" s="1175"/>
      <c r="J787" s="1175"/>
      <c r="K787" s="1175"/>
      <c r="L787" s="1180"/>
      <c r="M787" s="750">
        <f t="shared" si="20"/>
        <v>267778</v>
      </c>
    </row>
    <row r="788" spans="1:13" hidden="1" x14ac:dyDescent="0.25">
      <c r="A788" s="751" t="s">
        <v>541</v>
      </c>
      <c r="B788" s="751"/>
      <c r="C788" s="745" t="s">
        <v>1083</v>
      </c>
      <c r="D788" s="1113"/>
      <c r="E788" s="1730"/>
      <c r="F788" s="1731"/>
      <c r="G788" s="1731"/>
      <c r="H788" s="1731"/>
      <c r="I788" s="1175"/>
      <c r="J788" s="1175"/>
      <c r="K788" s="1175"/>
      <c r="L788" s="1180"/>
      <c r="M788" s="750">
        <f t="shared" si="20"/>
        <v>0</v>
      </c>
    </row>
    <row r="789" spans="1:13" hidden="1" x14ac:dyDescent="0.25">
      <c r="A789" s="751" t="s">
        <v>542</v>
      </c>
      <c r="B789" s="751"/>
      <c r="C789" s="745" t="s">
        <v>1084</v>
      </c>
      <c r="D789" s="1113"/>
      <c r="E789" s="1730"/>
      <c r="F789" s="1731"/>
      <c r="G789" s="1731"/>
      <c r="H789" s="1731"/>
      <c r="I789" s="1175"/>
      <c r="J789" s="1175"/>
      <c r="K789" s="1175"/>
      <c r="L789" s="1180"/>
      <c r="M789" s="750">
        <f t="shared" si="20"/>
        <v>0</v>
      </c>
    </row>
    <row r="790" spans="1:13" hidden="1" x14ac:dyDescent="0.25">
      <c r="A790" s="751" t="s">
        <v>543</v>
      </c>
      <c r="B790" s="751"/>
      <c r="C790" s="745" t="s">
        <v>1085</v>
      </c>
      <c r="D790" s="1113"/>
      <c r="E790" s="1730"/>
      <c r="F790" s="1731"/>
      <c r="G790" s="1731"/>
      <c r="H790" s="1731"/>
      <c r="I790" s="1175"/>
      <c r="J790" s="1175"/>
      <c r="K790" s="1175"/>
      <c r="L790" s="1180"/>
      <c r="M790" s="750">
        <f t="shared" si="20"/>
        <v>0</v>
      </c>
    </row>
    <row r="791" spans="1:13" hidden="1" x14ac:dyDescent="0.25">
      <c r="A791" s="751" t="s">
        <v>544</v>
      </c>
      <c r="B791" s="751"/>
      <c r="C791" s="745" t="s">
        <v>1086</v>
      </c>
      <c r="D791" s="1113"/>
      <c r="E791" s="1730"/>
      <c r="F791" s="1731"/>
      <c r="G791" s="1731"/>
      <c r="H791" s="1731"/>
      <c r="I791" s="1175"/>
      <c r="J791" s="1175"/>
      <c r="K791" s="1175"/>
      <c r="L791" s="1180"/>
      <c r="M791" s="750">
        <f t="shared" si="20"/>
        <v>0</v>
      </c>
    </row>
    <row r="792" spans="1:13" hidden="1" x14ac:dyDescent="0.25">
      <c r="A792" s="751" t="s">
        <v>545</v>
      </c>
      <c r="B792" s="751"/>
      <c r="C792" s="745" t="s">
        <v>1087</v>
      </c>
      <c r="D792" s="1113"/>
      <c r="E792" s="1730"/>
      <c r="F792" s="1731"/>
      <c r="G792" s="1731"/>
      <c r="H792" s="1731"/>
      <c r="I792" s="1175"/>
      <c r="J792" s="1175"/>
      <c r="K792" s="1175"/>
      <c r="L792" s="1180"/>
      <c r="M792" s="750">
        <f t="shared" si="20"/>
        <v>0</v>
      </c>
    </row>
    <row r="793" spans="1:13" hidden="1" x14ac:dyDescent="0.25">
      <c r="A793" s="751" t="s">
        <v>546</v>
      </c>
      <c r="B793" s="751"/>
      <c r="C793" s="745" t="s">
        <v>1088</v>
      </c>
      <c r="D793" s="1113"/>
      <c r="E793" s="1730"/>
      <c r="F793" s="1731"/>
      <c r="G793" s="1731"/>
      <c r="H793" s="1731"/>
      <c r="I793" s="1175"/>
      <c r="J793" s="1175"/>
      <c r="K793" s="1175"/>
      <c r="L793" s="1180"/>
      <c r="M793" s="750">
        <f t="shared" si="20"/>
        <v>0</v>
      </c>
    </row>
    <row r="794" spans="1:13" hidden="1" x14ac:dyDescent="0.25">
      <c r="A794" s="751" t="s">
        <v>547</v>
      </c>
      <c r="B794" s="751"/>
      <c r="C794" s="745" t="s">
        <v>1089</v>
      </c>
      <c r="D794" s="1113"/>
      <c r="E794" s="1730"/>
      <c r="F794" s="1731"/>
      <c r="G794" s="1731"/>
      <c r="H794" s="1731"/>
      <c r="I794" s="1175"/>
      <c r="J794" s="1175"/>
      <c r="K794" s="1175"/>
      <c r="L794" s="1180"/>
      <c r="M794" s="750">
        <f t="shared" si="20"/>
        <v>0</v>
      </c>
    </row>
    <row r="795" spans="1:13" x14ac:dyDescent="0.25">
      <c r="A795" s="751" t="s">
        <v>548</v>
      </c>
      <c r="B795" s="751"/>
      <c r="C795" s="745" t="s">
        <v>1090</v>
      </c>
      <c r="D795" s="1113">
        <v>382540</v>
      </c>
      <c r="E795" s="1730"/>
      <c r="F795" s="1731"/>
      <c r="G795" s="1731"/>
      <c r="H795" s="1731"/>
      <c r="I795" s="1175"/>
      <c r="J795" s="1175"/>
      <c r="K795" s="1175"/>
      <c r="L795" s="1180"/>
      <c r="M795" s="750">
        <f t="shared" si="20"/>
        <v>382540</v>
      </c>
    </row>
    <row r="796" spans="1:13" x14ac:dyDescent="0.25">
      <c r="A796" s="751" t="s">
        <v>549</v>
      </c>
      <c r="B796" s="751"/>
      <c r="C796" s="745" t="s">
        <v>1091</v>
      </c>
      <c r="D796" s="1113">
        <v>382540</v>
      </c>
      <c r="E796" s="1730"/>
      <c r="F796" s="1731"/>
      <c r="G796" s="1731"/>
      <c r="H796" s="1731"/>
      <c r="I796" s="1175"/>
      <c r="J796" s="1175"/>
      <c r="K796" s="1175"/>
      <c r="L796" s="1180"/>
      <c r="M796" s="750">
        <f t="shared" si="20"/>
        <v>382540</v>
      </c>
    </row>
    <row r="797" spans="1:13" hidden="1" x14ac:dyDescent="0.25">
      <c r="A797" s="751" t="s">
        <v>550</v>
      </c>
      <c r="B797" s="751"/>
      <c r="C797" s="745" t="s">
        <v>1092</v>
      </c>
      <c r="D797" s="1113"/>
      <c r="E797" s="1730"/>
      <c r="F797" s="1731"/>
      <c r="G797" s="1731"/>
      <c r="H797" s="1731"/>
      <c r="I797" s="1175"/>
      <c r="J797" s="1175"/>
      <c r="K797" s="1175"/>
      <c r="L797" s="1180"/>
      <c r="M797" s="750">
        <f t="shared" si="20"/>
        <v>0</v>
      </c>
    </row>
    <row r="798" spans="1:13" hidden="1" x14ac:dyDescent="0.25">
      <c r="A798" s="751" t="s">
        <v>551</v>
      </c>
      <c r="B798" s="751"/>
      <c r="C798" s="745" t="s">
        <v>1093</v>
      </c>
      <c r="D798" s="1113"/>
      <c r="E798" s="1730"/>
      <c r="F798" s="1731"/>
      <c r="G798" s="1731"/>
      <c r="H798" s="1731"/>
      <c r="I798" s="1175"/>
      <c r="J798" s="1175"/>
      <c r="K798" s="1175"/>
      <c r="L798" s="1180"/>
      <c r="M798" s="750">
        <f t="shared" si="20"/>
        <v>0</v>
      </c>
    </row>
    <row r="799" spans="1:13" hidden="1" x14ac:dyDescent="0.25">
      <c r="A799" s="751" t="s">
        <v>552</v>
      </c>
      <c r="B799" s="751"/>
      <c r="C799" s="745" t="s">
        <v>1094</v>
      </c>
      <c r="D799" s="1113"/>
      <c r="E799" s="1730"/>
      <c r="F799" s="1731"/>
      <c r="G799" s="1731"/>
      <c r="H799" s="1731"/>
      <c r="I799" s="1175"/>
      <c r="J799" s="1175"/>
      <c r="K799" s="1175"/>
      <c r="L799" s="1180"/>
      <c r="M799" s="750">
        <f t="shared" si="20"/>
        <v>0</v>
      </c>
    </row>
    <row r="800" spans="1:13" hidden="1" x14ac:dyDescent="0.25">
      <c r="A800" s="751" t="s">
        <v>553</v>
      </c>
      <c r="B800" s="751"/>
      <c r="C800" s="745" t="s">
        <v>1095</v>
      </c>
      <c r="D800" s="1113"/>
      <c r="E800" s="1730"/>
      <c r="F800" s="1731"/>
      <c r="G800" s="1731"/>
      <c r="H800" s="1731"/>
      <c r="I800" s="1175"/>
      <c r="J800" s="1175"/>
      <c r="K800" s="1175"/>
      <c r="L800" s="1180"/>
      <c r="M800" s="750">
        <f t="shared" si="20"/>
        <v>0</v>
      </c>
    </row>
    <row r="801" spans="1:13" hidden="1" x14ac:dyDescent="0.25">
      <c r="A801" s="751" t="s">
        <v>554</v>
      </c>
      <c r="B801" s="751"/>
      <c r="C801" s="745" t="s">
        <v>1096</v>
      </c>
      <c r="D801" s="1113"/>
      <c r="E801" s="1730"/>
      <c r="F801" s="1731"/>
      <c r="G801" s="1731"/>
      <c r="H801" s="1731"/>
      <c r="I801" s="1175"/>
      <c r="J801" s="1175"/>
      <c r="K801" s="1175"/>
      <c r="L801" s="1180"/>
      <c r="M801" s="750">
        <f t="shared" si="20"/>
        <v>0</v>
      </c>
    </row>
    <row r="802" spans="1:13" hidden="1" x14ac:dyDescent="0.25">
      <c r="A802" s="751" t="s">
        <v>555</v>
      </c>
      <c r="B802" s="751"/>
      <c r="C802" s="745" t="s">
        <v>1097</v>
      </c>
      <c r="D802" s="1113"/>
      <c r="E802" s="1730"/>
      <c r="F802" s="1731"/>
      <c r="G802" s="1731"/>
      <c r="H802" s="1731"/>
      <c r="I802" s="1175"/>
      <c r="J802" s="1175"/>
      <c r="K802" s="1175"/>
      <c r="L802" s="1180"/>
      <c r="M802" s="750">
        <f t="shared" si="20"/>
        <v>0</v>
      </c>
    </row>
    <row r="803" spans="1:13" hidden="1" x14ac:dyDescent="0.25">
      <c r="A803" s="751" t="s">
        <v>556</v>
      </c>
      <c r="B803" s="751"/>
      <c r="C803" s="745" t="s">
        <v>1098</v>
      </c>
      <c r="D803" s="1113"/>
      <c r="E803" s="1730"/>
      <c r="F803" s="1731"/>
      <c r="G803" s="1731"/>
      <c r="H803" s="1731"/>
      <c r="I803" s="1175"/>
      <c r="J803" s="1175"/>
      <c r="K803" s="1175"/>
      <c r="L803" s="1180"/>
      <c r="M803" s="750">
        <f t="shared" si="20"/>
        <v>0</v>
      </c>
    </row>
    <row r="804" spans="1:13" x14ac:dyDescent="0.25">
      <c r="A804" s="751" t="s">
        <v>557</v>
      </c>
      <c r="B804" s="751"/>
      <c r="C804" s="745" t="s">
        <v>1099</v>
      </c>
      <c r="D804" s="1113">
        <f>1538798+650318</f>
        <v>2189116</v>
      </c>
      <c r="E804" s="1730"/>
      <c r="F804" s="1731"/>
      <c r="G804" s="1731"/>
      <c r="H804" s="1731"/>
      <c r="I804" s="1175"/>
      <c r="J804" s="1175"/>
      <c r="K804" s="1175"/>
      <c r="L804" s="1180"/>
      <c r="M804" s="750">
        <f t="shared" si="20"/>
        <v>2189116</v>
      </c>
    </row>
    <row r="805" spans="1:13" x14ac:dyDescent="0.25">
      <c r="A805" s="751" t="s">
        <v>558</v>
      </c>
      <c r="B805" s="751"/>
      <c r="C805" s="745" t="s">
        <v>1100</v>
      </c>
      <c r="D805" s="1113">
        <f>382540+267778</f>
        <v>650318</v>
      </c>
      <c r="E805" s="1730"/>
      <c r="F805" s="1731"/>
      <c r="G805" s="1731"/>
      <c r="H805" s="1731"/>
      <c r="I805" s="1175"/>
      <c r="J805" s="1175"/>
      <c r="K805" s="1175"/>
      <c r="L805" s="1180"/>
      <c r="M805" s="750">
        <f t="shared" si="20"/>
        <v>650318</v>
      </c>
    </row>
    <row r="806" spans="1:13" x14ac:dyDescent="0.25">
      <c r="A806" s="751" t="s">
        <v>559</v>
      </c>
      <c r="B806" s="751"/>
      <c r="C806" s="745" t="s">
        <v>1101</v>
      </c>
      <c r="D806" s="1113">
        <v>382540</v>
      </c>
      <c r="E806" s="1730"/>
      <c r="F806" s="1731"/>
      <c r="G806" s="1731"/>
      <c r="H806" s="1731"/>
      <c r="I806" s="1175"/>
      <c r="J806" s="1175"/>
      <c r="K806" s="1175"/>
      <c r="L806" s="1180"/>
      <c r="M806" s="750">
        <f t="shared" si="20"/>
        <v>382540</v>
      </c>
    </row>
    <row r="807" spans="1:13" hidden="1" x14ac:dyDescent="0.25">
      <c r="A807" s="751" t="s">
        <v>560</v>
      </c>
      <c r="B807" s="751"/>
      <c r="C807" s="745" t="s">
        <v>1102</v>
      </c>
      <c r="D807" s="1113"/>
      <c r="E807" s="1730"/>
      <c r="F807" s="1731"/>
      <c r="G807" s="1731"/>
      <c r="H807" s="1731"/>
      <c r="I807" s="1175"/>
      <c r="J807" s="1175"/>
      <c r="K807" s="1175"/>
      <c r="L807" s="1180"/>
      <c r="M807" s="750">
        <f t="shared" si="20"/>
        <v>0</v>
      </c>
    </row>
    <row r="808" spans="1:13" hidden="1" x14ac:dyDescent="0.25">
      <c r="A808" s="751" t="s">
        <v>561</v>
      </c>
      <c r="B808" s="751"/>
      <c r="C808" s="745" t="s">
        <v>1103</v>
      </c>
      <c r="D808" s="1113"/>
      <c r="E808" s="1730"/>
      <c r="F808" s="1731"/>
      <c r="G808" s="1731"/>
      <c r="H808" s="1731"/>
      <c r="I808" s="1175"/>
      <c r="J808" s="1175"/>
      <c r="K808" s="1175"/>
      <c r="L808" s="1180"/>
      <c r="M808" s="750">
        <f t="shared" si="20"/>
        <v>0</v>
      </c>
    </row>
    <row r="809" spans="1:13" hidden="1" x14ac:dyDescent="0.25">
      <c r="A809" s="751" t="s">
        <v>562</v>
      </c>
      <c r="B809" s="751"/>
      <c r="C809" s="745" t="s">
        <v>1104</v>
      </c>
      <c r="D809" s="1113">
        <f>6446160-6446160</f>
        <v>0</v>
      </c>
      <c r="E809" s="1730"/>
      <c r="F809" s="1731"/>
      <c r="G809" s="1731"/>
      <c r="H809" s="1731"/>
      <c r="I809" s="1175"/>
      <c r="J809" s="1175"/>
      <c r="K809" s="1175"/>
      <c r="L809" s="1180"/>
      <c r="M809" s="750">
        <f t="shared" si="20"/>
        <v>0</v>
      </c>
    </row>
    <row r="810" spans="1:13" hidden="1" x14ac:dyDescent="0.25">
      <c r="A810" s="751" t="s">
        <v>563</v>
      </c>
      <c r="B810" s="751"/>
      <c r="C810" s="745" t="s">
        <v>1105</v>
      </c>
      <c r="D810" s="1113"/>
      <c r="E810" s="1730"/>
      <c r="F810" s="1731"/>
      <c r="G810" s="1731"/>
      <c r="H810" s="1731"/>
      <c r="I810" s="1175"/>
      <c r="J810" s="1175"/>
      <c r="K810" s="1175"/>
      <c r="L810" s="1180"/>
      <c r="M810" s="750">
        <f t="shared" si="20"/>
        <v>0</v>
      </c>
    </row>
    <row r="811" spans="1:13" hidden="1" x14ac:dyDescent="0.25">
      <c r="A811" s="751" t="s">
        <v>564</v>
      </c>
      <c r="B811" s="751"/>
      <c r="C811" s="745" t="s">
        <v>1106</v>
      </c>
      <c r="D811" s="1113"/>
      <c r="E811" s="1730"/>
      <c r="F811" s="1731"/>
      <c r="G811" s="1731"/>
      <c r="H811" s="1731"/>
      <c r="I811" s="1175"/>
      <c r="J811" s="1175"/>
      <c r="K811" s="1175"/>
      <c r="L811" s="1180"/>
      <c r="M811" s="750">
        <f t="shared" si="20"/>
        <v>0</v>
      </c>
    </row>
    <row r="812" spans="1:13" hidden="1" x14ac:dyDescent="0.25">
      <c r="A812" s="751" t="s">
        <v>565</v>
      </c>
      <c r="B812" s="751"/>
      <c r="C812" s="745" t="s">
        <v>1107</v>
      </c>
      <c r="D812" s="1113"/>
      <c r="E812" s="1730"/>
      <c r="F812" s="1731"/>
      <c r="G812" s="1731"/>
      <c r="H812" s="1731"/>
      <c r="I812" s="1175"/>
      <c r="J812" s="1175"/>
      <c r="K812" s="1175"/>
      <c r="L812" s="1180"/>
      <c r="M812" s="750">
        <f t="shared" si="20"/>
        <v>0</v>
      </c>
    </row>
    <row r="813" spans="1:13" hidden="1" x14ac:dyDescent="0.25">
      <c r="A813" s="751" t="s">
        <v>566</v>
      </c>
      <c r="B813" s="751"/>
      <c r="C813" s="745" t="s">
        <v>1108</v>
      </c>
      <c r="D813" s="1113"/>
      <c r="E813" s="1730"/>
      <c r="F813" s="1731"/>
      <c r="G813" s="1731"/>
      <c r="H813" s="1731"/>
      <c r="I813" s="1175"/>
      <c r="J813" s="1175"/>
      <c r="K813" s="1175"/>
      <c r="L813" s="1180"/>
      <c r="M813" s="750">
        <f t="shared" si="20"/>
        <v>0</v>
      </c>
    </row>
    <row r="814" spans="1:13" hidden="1" x14ac:dyDescent="0.25">
      <c r="A814" s="751" t="s">
        <v>567</v>
      </c>
      <c r="B814" s="751"/>
      <c r="C814" s="745" t="s">
        <v>1109</v>
      </c>
      <c r="D814" s="1113"/>
      <c r="E814" s="1730"/>
      <c r="F814" s="1731"/>
      <c r="G814" s="1731"/>
      <c r="H814" s="1731"/>
      <c r="I814" s="1175"/>
      <c r="J814" s="1175"/>
      <c r="K814" s="1175"/>
      <c r="L814" s="1180"/>
      <c r="M814" s="750">
        <f t="shared" si="20"/>
        <v>0</v>
      </c>
    </row>
    <row r="815" spans="1:13" hidden="1" x14ac:dyDescent="0.25">
      <c r="A815" s="751" t="s">
        <v>780</v>
      </c>
      <c r="B815" s="751"/>
      <c r="C815" s="745" t="s">
        <v>1110</v>
      </c>
      <c r="D815" s="1113"/>
      <c r="E815" s="1730"/>
      <c r="F815" s="1731"/>
      <c r="G815" s="1731"/>
      <c r="H815" s="1731"/>
      <c r="I815" s="1175"/>
      <c r="J815" s="1175"/>
      <c r="K815" s="1175"/>
      <c r="L815" s="1180"/>
      <c r="M815" s="750">
        <f t="shared" si="20"/>
        <v>0</v>
      </c>
    </row>
    <row r="816" spans="1:13" hidden="1" x14ac:dyDescent="0.25">
      <c r="A816" s="751" t="s">
        <v>781</v>
      </c>
      <c r="B816" s="751"/>
      <c r="C816" s="745" t="s">
        <v>1111</v>
      </c>
      <c r="D816" s="1113"/>
      <c r="E816" s="1730"/>
      <c r="F816" s="1731"/>
      <c r="G816" s="1731"/>
      <c r="H816" s="1731"/>
      <c r="I816" s="1175"/>
      <c r="J816" s="1175"/>
      <c r="K816" s="1175"/>
      <c r="L816" s="1180"/>
      <c r="M816" s="750">
        <f t="shared" si="20"/>
        <v>0</v>
      </c>
    </row>
    <row r="817" spans="1:13" x14ac:dyDescent="0.25">
      <c r="A817" s="751" t="s">
        <v>782</v>
      </c>
      <c r="B817" s="751"/>
      <c r="C817" s="745" t="s">
        <v>1112</v>
      </c>
      <c r="D817" s="1113">
        <f>2262413-158094</f>
        <v>2104319</v>
      </c>
      <c r="E817" s="1730"/>
      <c r="F817" s="1731"/>
      <c r="G817" s="1731"/>
      <c r="H817" s="1731"/>
      <c r="I817" s="1175"/>
      <c r="J817" s="1175"/>
      <c r="K817" s="1175"/>
      <c r="L817" s="1180"/>
      <c r="M817" s="750">
        <f t="shared" si="20"/>
        <v>2104319</v>
      </c>
    </row>
    <row r="818" spans="1:13" hidden="1" x14ac:dyDescent="0.25">
      <c r="A818" s="751" t="s">
        <v>783</v>
      </c>
      <c r="B818" s="751"/>
      <c r="C818" s="745" t="s">
        <v>1113</v>
      </c>
      <c r="D818" s="1113"/>
      <c r="E818" s="1730"/>
      <c r="F818" s="1731"/>
      <c r="G818" s="1731"/>
      <c r="H818" s="1731"/>
      <c r="I818" s="1175"/>
      <c r="J818" s="1175"/>
      <c r="K818" s="1175"/>
      <c r="L818" s="1180"/>
      <c r="M818" s="750">
        <f t="shared" si="20"/>
        <v>0</v>
      </c>
    </row>
    <row r="819" spans="1:13" hidden="1" x14ac:dyDescent="0.25">
      <c r="A819" s="751" t="s">
        <v>784</v>
      </c>
      <c r="B819" s="751"/>
      <c r="C819" s="745" t="s">
        <v>1114</v>
      </c>
      <c r="D819" s="1113"/>
      <c r="E819" s="1730"/>
      <c r="F819" s="1731"/>
      <c r="G819" s="1731"/>
      <c r="H819" s="1731"/>
      <c r="I819" s="1175"/>
      <c r="J819" s="1175"/>
      <c r="K819" s="1175"/>
      <c r="L819" s="1180"/>
      <c r="M819" s="750">
        <f t="shared" si="20"/>
        <v>0</v>
      </c>
    </row>
    <row r="820" spans="1:13" hidden="1" x14ac:dyDescent="0.25">
      <c r="A820" s="751" t="s">
        <v>785</v>
      </c>
      <c r="B820" s="751"/>
      <c r="C820" s="745" t="s">
        <v>1115</v>
      </c>
      <c r="D820" s="1113"/>
      <c r="E820" s="1730"/>
      <c r="F820" s="1731"/>
      <c r="G820" s="1731"/>
      <c r="H820" s="1731"/>
      <c r="I820" s="1175"/>
      <c r="J820" s="1175"/>
      <c r="K820" s="1175"/>
      <c r="L820" s="1180"/>
      <c r="M820" s="750">
        <f t="shared" si="20"/>
        <v>0</v>
      </c>
    </row>
    <row r="821" spans="1:13" x14ac:dyDescent="0.25">
      <c r="A821" s="751" t="s">
        <v>910</v>
      </c>
      <c r="B821" s="751"/>
      <c r="C821" s="745" t="s">
        <v>1116</v>
      </c>
      <c r="D821" s="1113">
        <f>4466463-2693205+1606668</f>
        <v>3379926</v>
      </c>
      <c r="E821" s="1730"/>
      <c r="F821" s="1731"/>
      <c r="G821" s="1731"/>
      <c r="H821" s="1731"/>
      <c r="I821" s="1175"/>
      <c r="J821" s="1175"/>
      <c r="K821" s="1175"/>
      <c r="L821" s="1180"/>
      <c r="M821" s="750">
        <f t="shared" si="20"/>
        <v>3379926</v>
      </c>
    </row>
    <row r="822" spans="1:13" x14ac:dyDescent="0.25">
      <c r="A822" s="751" t="s">
        <v>911</v>
      </c>
      <c r="B822" s="751"/>
      <c r="C822" s="745" t="s">
        <v>1117</v>
      </c>
      <c r="D822" s="1113">
        <f>344286-114762+765080</f>
        <v>994604</v>
      </c>
      <c r="E822" s="1730"/>
      <c r="F822" s="1731"/>
      <c r="G822" s="1731"/>
      <c r="H822" s="1731"/>
      <c r="I822" s="1175"/>
      <c r="J822" s="1175"/>
      <c r="K822" s="1175"/>
      <c r="L822" s="1180"/>
      <c r="M822" s="750">
        <f t="shared" si="20"/>
        <v>994604</v>
      </c>
    </row>
    <row r="823" spans="1:13" hidden="1" x14ac:dyDescent="0.25">
      <c r="A823" s="751" t="s">
        <v>1118</v>
      </c>
      <c r="B823" s="751"/>
      <c r="C823" s="745" t="s">
        <v>1119</v>
      </c>
      <c r="D823" s="1113"/>
      <c r="E823" s="1730"/>
      <c r="F823" s="1731"/>
      <c r="G823" s="1731"/>
      <c r="H823" s="1731"/>
      <c r="I823" s="1175"/>
      <c r="J823" s="1175"/>
      <c r="K823" s="1175"/>
      <c r="L823" s="1180"/>
      <c r="M823" s="750">
        <f t="shared" si="20"/>
        <v>0</v>
      </c>
    </row>
    <row r="824" spans="1:13" x14ac:dyDescent="0.25">
      <c r="A824" s="751" t="s">
        <v>1120</v>
      </c>
      <c r="B824" s="751"/>
      <c r="C824" s="745" t="s">
        <v>1121</v>
      </c>
      <c r="D824" s="1113">
        <v>765080</v>
      </c>
      <c r="E824" s="1730"/>
      <c r="F824" s="1731"/>
      <c r="G824" s="1731"/>
      <c r="H824" s="1731"/>
      <c r="I824" s="1175"/>
      <c r="J824" s="1175"/>
      <c r="K824" s="1175"/>
      <c r="L824" s="1180"/>
      <c r="M824" s="750">
        <f t="shared" si="20"/>
        <v>765080</v>
      </c>
    </row>
    <row r="825" spans="1:13" x14ac:dyDescent="0.25">
      <c r="A825" s="751" t="s">
        <v>1122</v>
      </c>
      <c r="B825" s="751"/>
      <c r="C825" s="745" t="s">
        <v>1123</v>
      </c>
      <c r="D825" s="1113">
        <v>382540</v>
      </c>
      <c r="E825" s="1730"/>
      <c r="F825" s="1731"/>
      <c r="G825" s="1731"/>
      <c r="H825" s="1731"/>
      <c r="I825" s="1175"/>
      <c r="J825" s="1175"/>
      <c r="K825" s="1175"/>
      <c r="L825" s="1180"/>
      <c r="M825" s="750">
        <f t="shared" si="20"/>
        <v>382540</v>
      </c>
    </row>
    <row r="826" spans="1:13" hidden="1" x14ac:dyDescent="0.25">
      <c r="A826" s="751" t="s">
        <v>1124</v>
      </c>
      <c r="B826" s="751"/>
      <c r="C826" s="745" t="s">
        <v>1125</v>
      </c>
      <c r="D826" s="1113"/>
      <c r="E826" s="1730"/>
      <c r="F826" s="1731"/>
      <c r="G826" s="1731"/>
      <c r="H826" s="1731"/>
      <c r="I826" s="1175"/>
      <c r="J826" s="1175"/>
      <c r="K826" s="1175"/>
      <c r="L826" s="1180"/>
      <c r="M826" s="750">
        <f t="shared" si="20"/>
        <v>0</v>
      </c>
    </row>
    <row r="827" spans="1:13" x14ac:dyDescent="0.25">
      <c r="A827" s="751" t="s">
        <v>1126</v>
      </c>
      <c r="B827" s="751"/>
      <c r="C827" s="745" t="s">
        <v>1127</v>
      </c>
      <c r="D827" s="1113">
        <v>267778</v>
      </c>
      <c r="E827" s="1730"/>
      <c r="F827" s="1731"/>
      <c r="G827" s="1731"/>
      <c r="H827" s="1731"/>
      <c r="I827" s="1175"/>
      <c r="J827" s="1175"/>
      <c r="K827" s="1175"/>
      <c r="L827" s="1180"/>
      <c r="M827" s="750">
        <f t="shared" si="20"/>
        <v>267778</v>
      </c>
    </row>
    <row r="828" spans="1:13" hidden="1" x14ac:dyDescent="0.25">
      <c r="A828" s="751" t="s">
        <v>1128</v>
      </c>
      <c r="B828" s="751"/>
      <c r="C828" s="745" t="s">
        <v>1129</v>
      </c>
      <c r="D828" s="1113"/>
      <c r="E828" s="1730"/>
      <c r="F828" s="1731"/>
      <c r="G828" s="1731"/>
      <c r="H828" s="1731"/>
      <c r="I828" s="1175"/>
      <c r="J828" s="1175"/>
      <c r="K828" s="1175"/>
      <c r="L828" s="1180"/>
      <c r="M828" s="750">
        <f t="shared" si="20"/>
        <v>0</v>
      </c>
    </row>
    <row r="829" spans="1:13" hidden="1" x14ac:dyDescent="0.25">
      <c r="A829" s="751" t="s">
        <v>1130</v>
      </c>
      <c r="B829" s="751"/>
      <c r="C829" s="745" t="s">
        <v>1131</v>
      </c>
      <c r="D829" s="1113"/>
      <c r="E829" s="1730"/>
      <c r="F829" s="1731"/>
      <c r="G829" s="1731"/>
      <c r="H829" s="1731"/>
      <c r="I829" s="1175"/>
      <c r="J829" s="1175"/>
      <c r="K829" s="1175"/>
      <c r="L829" s="1180"/>
      <c r="M829" s="750">
        <f t="shared" si="20"/>
        <v>0</v>
      </c>
    </row>
    <row r="830" spans="1:13" hidden="1" x14ac:dyDescent="0.25">
      <c r="A830" s="751" t="s">
        <v>1132</v>
      </c>
      <c r="B830" s="751"/>
      <c r="C830" s="745" t="s">
        <v>1133</v>
      </c>
      <c r="D830" s="1113"/>
      <c r="E830" s="1730"/>
      <c r="F830" s="1731"/>
      <c r="G830" s="1731"/>
      <c r="H830" s="1731"/>
      <c r="I830" s="1175"/>
      <c r="J830" s="1175"/>
      <c r="K830" s="1175"/>
      <c r="L830" s="1180"/>
      <c r="M830" s="750">
        <f t="shared" si="20"/>
        <v>0</v>
      </c>
    </row>
    <row r="831" spans="1:13" hidden="1" x14ac:dyDescent="0.25">
      <c r="A831" s="751" t="s">
        <v>1134</v>
      </c>
      <c r="B831" s="751"/>
      <c r="C831" s="745" t="s">
        <v>1135</v>
      </c>
      <c r="D831" s="1113"/>
      <c r="E831" s="1730"/>
      <c r="F831" s="1731"/>
      <c r="G831" s="1731"/>
      <c r="H831" s="1731"/>
      <c r="I831" s="1175"/>
      <c r="J831" s="1175"/>
      <c r="K831" s="1175"/>
      <c r="L831" s="1180"/>
      <c r="M831" s="750">
        <f t="shared" si="20"/>
        <v>0</v>
      </c>
    </row>
    <row r="832" spans="1:13" x14ac:dyDescent="0.25">
      <c r="A832" s="751" t="s">
        <v>1136</v>
      </c>
      <c r="B832" s="751"/>
      <c r="C832" s="745" t="s">
        <v>1137</v>
      </c>
      <c r="D832" s="1113">
        <f>1262382-765080+382540</f>
        <v>879842</v>
      </c>
      <c r="E832" s="1730"/>
      <c r="F832" s="1731"/>
      <c r="G832" s="1731"/>
      <c r="H832" s="1731"/>
      <c r="I832" s="1175"/>
      <c r="J832" s="1175"/>
      <c r="K832" s="1175"/>
      <c r="L832" s="1180"/>
      <c r="M832" s="750">
        <f t="shared" si="20"/>
        <v>879842</v>
      </c>
    </row>
    <row r="833" spans="1:13" hidden="1" x14ac:dyDescent="0.25">
      <c r="A833" s="751" t="s">
        <v>1138</v>
      </c>
      <c r="B833" s="751"/>
      <c r="C833" s="745" t="s">
        <v>1139</v>
      </c>
      <c r="D833" s="1113"/>
      <c r="E833" s="1730"/>
      <c r="F833" s="1731"/>
      <c r="G833" s="1731"/>
      <c r="H833" s="1731"/>
      <c r="I833" s="1175"/>
      <c r="J833" s="1175"/>
      <c r="K833" s="1175"/>
      <c r="L833" s="1180"/>
      <c r="M833" s="750">
        <f t="shared" si="20"/>
        <v>0</v>
      </c>
    </row>
    <row r="834" spans="1:13" hidden="1" x14ac:dyDescent="0.25">
      <c r="A834" s="751" t="s">
        <v>1140</v>
      </c>
      <c r="B834" s="751"/>
      <c r="C834" s="745" t="s">
        <v>1141</v>
      </c>
      <c r="D834" s="1113"/>
      <c r="E834" s="1730"/>
      <c r="F834" s="1731"/>
      <c r="G834" s="1731"/>
      <c r="H834" s="1731"/>
      <c r="I834" s="1175"/>
      <c r="J834" s="1175"/>
      <c r="K834" s="1175"/>
      <c r="L834" s="1180"/>
      <c r="M834" s="750">
        <f t="shared" si="20"/>
        <v>0</v>
      </c>
    </row>
    <row r="835" spans="1:13" ht="18.75" hidden="1" customHeight="1" x14ac:dyDescent="0.25">
      <c r="A835" s="751" t="s">
        <v>1142</v>
      </c>
      <c r="B835" s="751"/>
      <c r="C835" s="745" t="s">
        <v>1143</v>
      </c>
      <c r="D835" s="1113"/>
      <c r="E835" s="1730"/>
      <c r="F835" s="1731"/>
      <c r="G835" s="1731"/>
      <c r="H835" s="1731"/>
      <c r="I835" s="1175"/>
      <c r="J835" s="1175"/>
      <c r="K835" s="1175"/>
      <c r="L835" s="1180"/>
      <c r="M835" s="750">
        <f t="shared" si="20"/>
        <v>0</v>
      </c>
    </row>
    <row r="836" spans="1:13" hidden="1" x14ac:dyDescent="0.25">
      <c r="A836" s="751" t="s">
        <v>1144</v>
      </c>
      <c r="B836" s="751"/>
      <c r="C836" s="745" t="s">
        <v>1145</v>
      </c>
      <c r="D836" s="1113"/>
      <c r="E836" s="1730"/>
      <c r="F836" s="1731"/>
      <c r="G836" s="1731"/>
      <c r="H836" s="1731"/>
      <c r="I836" s="1175"/>
      <c r="J836" s="1175"/>
      <c r="K836" s="1175"/>
      <c r="L836" s="1180"/>
      <c r="M836" s="750">
        <f t="shared" si="20"/>
        <v>0</v>
      </c>
    </row>
    <row r="837" spans="1:13" hidden="1" x14ac:dyDescent="0.25">
      <c r="A837" s="751" t="s">
        <v>1146</v>
      </c>
      <c r="B837" s="751"/>
      <c r="C837" s="745" t="s">
        <v>1147</v>
      </c>
      <c r="D837" s="1113"/>
      <c r="E837" s="1730"/>
      <c r="F837" s="1731"/>
      <c r="G837" s="1731"/>
      <c r="H837" s="1731"/>
      <c r="I837" s="1175"/>
      <c r="J837" s="1175"/>
      <c r="K837" s="1175"/>
      <c r="L837" s="1180"/>
      <c r="M837" s="750">
        <f t="shared" si="20"/>
        <v>0</v>
      </c>
    </row>
    <row r="838" spans="1:13" hidden="1" x14ac:dyDescent="0.25">
      <c r="A838" s="751" t="s">
        <v>1148</v>
      </c>
      <c r="B838" s="751"/>
      <c r="C838" s="745" t="s">
        <v>1149</v>
      </c>
      <c r="D838" s="1113"/>
      <c r="E838" s="1730"/>
      <c r="F838" s="1731"/>
      <c r="G838" s="1731"/>
      <c r="H838" s="1731"/>
      <c r="I838" s="1175"/>
      <c r="J838" s="1175"/>
      <c r="K838" s="1175"/>
      <c r="L838" s="1180"/>
      <c r="M838" s="750">
        <f t="shared" si="20"/>
        <v>0</v>
      </c>
    </row>
    <row r="839" spans="1:13" x14ac:dyDescent="0.25">
      <c r="A839" s="788"/>
      <c r="B839" s="788"/>
      <c r="C839" s="865" t="s">
        <v>168</v>
      </c>
      <c r="D839" s="1113">
        <f>26243800-13396025-12819900-27875+144374</f>
        <v>144374</v>
      </c>
      <c r="E839" s="1730"/>
      <c r="F839" s="1731"/>
      <c r="G839" s="1731"/>
      <c r="H839" s="1731"/>
      <c r="I839" s="1175"/>
      <c r="J839" s="1175"/>
      <c r="K839" s="1175"/>
      <c r="L839" s="1180"/>
      <c r="M839" s="750">
        <f t="shared" ref="M839:M870" si="21">SUM(D839:H839)</f>
        <v>144374</v>
      </c>
    </row>
    <row r="840" spans="1:13" ht="79.150000000000006" customHeight="1" x14ac:dyDescent="0.25">
      <c r="A840" s="1741" t="s">
        <v>1930</v>
      </c>
      <c r="B840" s="1738">
        <v>9514</v>
      </c>
      <c r="C840" s="1753" t="s">
        <v>1931</v>
      </c>
      <c r="D840" s="1089">
        <f>SUM(D844:D910)</f>
        <v>3386260</v>
      </c>
      <c r="E840" s="1733"/>
      <c r="F840" s="1770"/>
      <c r="G840" s="1770"/>
      <c r="H840" s="1770"/>
      <c r="I840" s="1355"/>
      <c r="J840" s="1355"/>
      <c r="K840" s="1355"/>
      <c r="L840" s="1204"/>
      <c r="M840" s="750">
        <f t="shared" si="21"/>
        <v>3386260</v>
      </c>
    </row>
    <row r="841" spans="1:13" ht="18.75" x14ac:dyDescent="0.25">
      <c r="A841" s="1742"/>
      <c r="B841" s="1739"/>
      <c r="C841" s="1754"/>
      <c r="D841" s="1099"/>
      <c r="E841" s="1734"/>
      <c r="F841" s="1771"/>
      <c r="G841" s="1771"/>
      <c r="H841" s="1771"/>
      <c r="I841" s="1356"/>
      <c r="J841" s="1356"/>
      <c r="K841" s="1356"/>
      <c r="L841" s="1190"/>
      <c r="M841" s="750">
        <v>1</v>
      </c>
    </row>
    <row r="842" spans="1:13" ht="18.75" x14ac:dyDescent="0.25">
      <c r="A842" s="1742"/>
      <c r="B842" s="1739"/>
      <c r="C842" s="1754"/>
      <c r="D842" s="1099"/>
      <c r="E842" s="1734"/>
      <c r="F842" s="1771"/>
      <c r="G842" s="1771"/>
      <c r="H842" s="1771"/>
      <c r="I842" s="1356"/>
      <c r="J842" s="1356"/>
      <c r="K842" s="1356"/>
      <c r="L842" s="1190"/>
      <c r="M842" s="750">
        <v>1</v>
      </c>
    </row>
    <row r="843" spans="1:13" ht="18.75" x14ac:dyDescent="0.25">
      <c r="A843" s="1743"/>
      <c r="B843" s="1740"/>
      <c r="C843" s="1755"/>
      <c r="D843" s="1098"/>
      <c r="E843" s="1734"/>
      <c r="F843" s="1771"/>
      <c r="G843" s="1771"/>
      <c r="H843" s="1771"/>
      <c r="I843" s="1356"/>
      <c r="J843" s="1356"/>
      <c r="K843" s="1356"/>
      <c r="L843" s="1190"/>
      <c r="M843" s="750">
        <v>1</v>
      </c>
    </row>
    <row r="844" spans="1:13" hidden="1" x14ac:dyDescent="0.25">
      <c r="A844" s="751" t="s">
        <v>526</v>
      </c>
      <c r="B844" s="751"/>
      <c r="C844" s="745" t="s">
        <v>1060</v>
      </c>
      <c r="D844" s="867"/>
      <c r="E844" s="1730"/>
      <c r="F844" s="1731"/>
      <c r="G844" s="1731"/>
      <c r="H844" s="1731"/>
      <c r="I844" s="1175"/>
      <c r="J844" s="1175"/>
      <c r="K844" s="1175"/>
      <c r="L844" s="1180"/>
      <c r="M844" s="750">
        <f t="shared" si="21"/>
        <v>0</v>
      </c>
    </row>
    <row r="845" spans="1:13" hidden="1" x14ac:dyDescent="0.25">
      <c r="A845" s="751" t="s">
        <v>527</v>
      </c>
      <c r="B845" s="751"/>
      <c r="C845" s="745" t="s">
        <v>1069</v>
      </c>
      <c r="D845" s="762"/>
      <c r="E845" s="1730"/>
      <c r="F845" s="1731"/>
      <c r="G845" s="1731"/>
      <c r="H845" s="1731"/>
      <c r="I845" s="1175"/>
      <c r="J845" s="1175"/>
      <c r="K845" s="1175"/>
      <c r="L845" s="1180"/>
      <c r="M845" s="750">
        <f t="shared" si="21"/>
        <v>0</v>
      </c>
    </row>
    <row r="846" spans="1:13" hidden="1" x14ac:dyDescent="0.25">
      <c r="A846" s="751" t="s">
        <v>528</v>
      </c>
      <c r="B846" s="751"/>
      <c r="C846" s="745" t="s">
        <v>1070</v>
      </c>
      <c r="D846" s="762"/>
      <c r="E846" s="1730"/>
      <c r="F846" s="1731"/>
      <c r="G846" s="1731"/>
      <c r="H846" s="1731"/>
      <c r="I846" s="1175"/>
      <c r="J846" s="1175"/>
      <c r="K846" s="1175"/>
      <c r="L846" s="1180"/>
      <c r="M846" s="750">
        <f t="shared" si="21"/>
        <v>0</v>
      </c>
    </row>
    <row r="847" spans="1:13" hidden="1" x14ac:dyDescent="0.25">
      <c r="A847" s="751" t="s">
        <v>529</v>
      </c>
      <c r="B847" s="751"/>
      <c r="C847" s="745" t="s">
        <v>1071</v>
      </c>
      <c r="D847" s="762"/>
      <c r="E847" s="1730"/>
      <c r="F847" s="1731"/>
      <c r="G847" s="1731"/>
      <c r="H847" s="1731"/>
      <c r="I847" s="1175"/>
      <c r="J847" s="1175"/>
      <c r="K847" s="1175"/>
      <c r="L847" s="1180"/>
      <c r="M847" s="750">
        <f t="shared" si="21"/>
        <v>0</v>
      </c>
    </row>
    <row r="848" spans="1:13" hidden="1" x14ac:dyDescent="0.25">
      <c r="A848" s="751" t="s">
        <v>530</v>
      </c>
      <c r="B848" s="751"/>
      <c r="C848" s="745" t="s">
        <v>1072</v>
      </c>
      <c r="D848" s="762"/>
      <c r="E848" s="1730"/>
      <c r="F848" s="1731"/>
      <c r="G848" s="1731"/>
      <c r="H848" s="1731"/>
      <c r="I848" s="1175"/>
      <c r="J848" s="1175"/>
      <c r="K848" s="1175"/>
      <c r="L848" s="1180"/>
      <c r="M848" s="750">
        <f t="shared" si="21"/>
        <v>0</v>
      </c>
    </row>
    <row r="849" spans="1:13" hidden="1" x14ac:dyDescent="0.25">
      <c r="A849" s="751" t="s">
        <v>531</v>
      </c>
      <c r="B849" s="751"/>
      <c r="C849" s="745" t="s">
        <v>1073</v>
      </c>
      <c r="D849" s="762"/>
      <c r="E849" s="1730"/>
      <c r="F849" s="1731"/>
      <c r="G849" s="1731"/>
      <c r="H849" s="1731"/>
      <c r="I849" s="1175"/>
      <c r="J849" s="1175"/>
      <c r="K849" s="1175"/>
      <c r="L849" s="1180"/>
      <c r="M849" s="750">
        <f t="shared" si="21"/>
        <v>0</v>
      </c>
    </row>
    <row r="850" spans="1:13" hidden="1" x14ac:dyDescent="0.25">
      <c r="A850" s="751" t="s">
        <v>532</v>
      </c>
      <c r="B850" s="751"/>
      <c r="C850" s="745" t="s">
        <v>1074</v>
      </c>
      <c r="D850" s="762"/>
      <c r="E850" s="1730"/>
      <c r="F850" s="1731"/>
      <c r="G850" s="1731"/>
      <c r="H850" s="1731"/>
      <c r="I850" s="1175"/>
      <c r="J850" s="1175"/>
      <c r="K850" s="1175"/>
      <c r="L850" s="1180"/>
      <c r="M850" s="750">
        <f t="shared" si="21"/>
        <v>0</v>
      </c>
    </row>
    <row r="851" spans="1:13" hidden="1" x14ac:dyDescent="0.25">
      <c r="A851" s="751" t="s">
        <v>533</v>
      </c>
      <c r="B851" s="751"/>
      <c r="C851" s="745" t="s">
        <v>1075</v>
      </c>
      <c r="D851" s="762"/>
      <c r="E851" s="1730"/>
      <c r="F851" s="1731"/>
      <c r="G851" s="1731"/>
      <c r="H851" s="1731"/>
      <c r="I851" s="1175"/>
      <c r="J851" s="1175"/>
      <c r="K851" s="1175"/>
      <c r="L851" s="1180"/>
      <c r="M851" s="750">
        <f t="shared" si="21"/>
        <v>0</v>
      </c>
    </row>
    <row r="852" spans="1:13" hidden="1" x14ac:dyDescent="0.25">
      <c r="A852" s="751" t="s">
        <v>534</v>
      </c>
      <c r="B852" s="751"/>
      <c r="C852" s="745" t="s">
        <v>1076</v>
      </c>
      <c r="D852" s="762"/>
      <c r="E852" s="1730"/>
      <c r="F852" s="1731"/>
      <c r="G852" s="1731"/>
      <c r="H852" s="1731"/>
      <c r="I852" s="1175"/>
      <c r="J852" s="1175"/>
      <c r="K852" s="1175"/>
      <c r="L852" s="1180"/>
      <c r="M852" s="750">
        <f t="shared" si="21"/>
        <v>0</v>
      </c>
    </row>
    <row r="853" spans="1:13" hidden="1" x14ac:dyDescent="0.25">
      <c r="A853" s="751" t="s">
        <v>535</v>
      </c>
      <c r="B853" s="751"/>
      <c r="C853" s="745" t="s">
        <v>1077</v>
      </c>
      <c r="D853" s="762"/>
      <c r="E853" s="1730"/>
      <c r="F853" s="1731"/>
      <c r="G853" s="1731"/>
      <c r="H853" s="1731"/>
      <c r="I853" s="1175"/>
      <c r="J853" s="1175"/>
      <c r="K853" s="1175"/>
      <c r="L853" s="1180"/>
      <c r="M853" s="750">
        <f t="shared" si="21"/>
        <v>0</v>
      </c>
    </row>
    <row r="854" spans="1:13" hidden="1" x14ac:dyDescent="0.25">
      <c r="A854" s="751" t="s">
        <v>536</v>
      </c>
      <c r="B854" s="751"/>
      <c r="C854" s="745" t="s">
        <v>1078</v>
      </c>
      <c r="D854" s="762"/>
      <c r="E854" s="1730"/>
      <c r="F854" s="1731"/>
      <c r="G854" s="1731"/>
      <c r="H854" s="1731"/>
      <c r="I854" s="1175"/>
      <c r="J854" s="1175"/>
      <c r="K854" s="1175"/>
      <c r="L854" s="1180"/>
      <c r="M854" s="750">
        <f t="shared" si="21"/>
        <v>0</v>
      </c>
    </row>
    <row r="855" spans="1:13" hidden="1" x14ac:dyDescent="0.25">
      <c r="A855" s="751" t="s">
        <v>537</v>
      </c>
      <c r="B855" s="751"/>
      <c r="C855" s="745" t="s">
        <v>1079</v>
      </c>
      <c r="D855" s="762"/>
      <c r="E855" s="1730"/>
      <c r="F855" s="1731"/>
      <c r="G855" s="1731"/>
      <c r="H855" s="1731"/>
      <c r="I855" s="1175"/>
      <c r="J855" s="1175"/>
      <c r="K855" s="1175"/>
      <c r="L855" s="1180"/>
      <c r="M855" s="750">
        <f t="shared" si="21"/>
        <v>0</v>
      </c>
    </row>
    <row r="856" spans="1:13" hidden="1" x14ac:dyDescent="0.25">
      <c r="A856" s="751" t="s">
        <v>538</v>
      </c>
      <c r="B856" s="751"/>
      <c r="C856" s="745" t="s">
        <v>1080</v>
      </c>
      <c r="D856" s="762"/>
      <c r="E856" s="1730"/>
      <c r="F856" s="1731"/>
      <c r="G856" s="1731"/>
      <c r="H856" s="1731"/>
      <c r="I856" s="1175"/>
      <c r="J856" s="1175"/>
      <c r="K856" s="1175"/>
      <c r="L856" s="1180"/>
      <c r="M856" s="750">
        <f t="shared" si="21"/>
        <v>0</v>
      </c>
    </row>
    <row r="857" spans="1:13" hidden="1" x14ac:dyDescent="0.25">
      <c r="A857" s="751" t="s">
        <v>539</v>
      </c>
      <c r="B857" s="751"/>
      <c r="C857" s="745" t="s">
        <v>1081</v>
      </c>
      <c r="D857" s="762"/>
      <c r="E857" s="1730"/>
      <c r="F857" s="1731"/>
      <c r="G857" s="1731"/>
      <c r="H857" s="1731"/>
      <c r="I857" s="1175"/>
      <c r="J857" s="1175"/>
      <c r="K857" s="1175"/>
      <c r="L857" s="1180"/>
      <c r="M857" s="750">
        <f t="shared" si="21"/>
        <v>0</v>
      </c>
    </row>
    <row r="858" spans="1:13" hidden="1" x14ac:dyDescent="0.25">
      <c r="A858" s="751" t="s">
        <v>540</v>
      </c>
      <c r="B858" s="751"/>
      <c r="C858" s="745" t="s">
        <v>1082</v>
      </c>
      <c r="D858" s="762"/>
      <c r="E858" s="1730"/>
      <c r="F858" s="1731"/>
      <c r="G858" s="1731"/>
      <c r="H858" s="1731"/>
      <c r="I858" s="1175"/>
      <c r="J858" s="1175"/>
      <c r="K858" s="1175"/>
      <c r="L858" s="1180"/>
      <c r="M858" s="750">
        <f t="shared" si="21"/>
        <v>0</v>
      </c>
    </row>
    <row r="859" spans="1:13" hidden="1" x14ac:dyDescent="0.25">
      <c r="A859" s="751" t="s">
        <v>541</v>
      </c>
      <c r="B859" s="751"/>
      <c r="C859" s="745" t="s">
        <v>1083</v>
      </c>
      <c r="D859" s="762"/>
      <c r="E859" s="1730"/>
      <c r="F859" s="1731"/>
      <c r="G859" s="1731"/>
      <c r="H859" s="1731"/>
      <c r="I859" s="1175"/>
      <c r="J859" s="1175"/>
      <c r="K859" s="1175"/>
      <c r="L859" s="1180"/>
      <c r="M859" s="750">
        <f t="shared" si="21"/>
        <v>0</v>
      </c>
    </row>
    <row r="860" spans="1:13" hidden="1" x14ac:dyDescent="0.25">
      <c r="A860" s="751" t="s">
        <v>542</v>
      </c>
      <c r="B860" s="751"/>
      <c r="C860" s="745" t="s">
        <v>1084</v>
      </c>
      <c r="D860" s="762"/>
      <c r="E860" s="1730"/>
      <c r="F860" s="1731"/>
      <c r="G860" s="1731"/>
      <c r="H860" s="1731"/>
      <c r="I860" s="1175"/>
      <c r="J860" s="1175"/>
      <c r="K860" s="1175"/>
      <c r="L860" s="1180"/>
      <c r="M860" s="750">
        <f t="shared" si="21"/>
        <v>0</v>
      </c>
    </row>
    <row r="861" spans="1:13" hidden="1" x14ac:dyDescent="0.25">
      <c r="A861" s="751" t="s">
        <v>543</v>
      </c>
      <c r="B861" s="751"/>
      <c r="C861" s="745" t="s">
        <v>1085</v>
      </c>
      <c r="D861" s="762"/>
      <c r="E861" s="1730"/>
      <c r="F861" s="1731"/>
      <c r="G861" s="1731"/>
      <c r="H861" s="1731"/>
      <c r="I861" s="1175"/>
      <c r="J861" s="1175"/>
      <c r="K861" s="1175"/>
      <c r="L861" s="1180"/>
      <c r="M861" s="750">
        <f t="shared" si="21"/>
        <v>0</v>
      </c>
    </row>
    <row r="862" spans="1:13" hidden="1" x14ac:dyDescent="0.25">
      <c r="A862" s="751" t="s">
        <v>544</v>
      </c>
      <c r="B862" s="751"/>
      <c r="C862" s="745" t="s">
        <v>1086</v>
      </c>
      <c r="D862" s="762"/>
      <c r="E862" s="1730"/>
      <c r="F862" s="1731"/>
      <c r="G862" s="1731"/>
      <c r="H862" s="1731"/>
      <c r="I862" s="1175"/>
      <c r="J862" s="1175"/>
      <c r="K862" s="1175"/>
      <c r="L862" s="1180"/>
      <c r="M862" s="750">
        <f t="shared" si="21"/>
        <v>0</v>
      </c>
    </row>
    <row r="863" spans="1:13" hidden="1" x14ac:dyDescent="0.25">
      <c r="A863" s="751" t="s">
        <v>545</v>
      </c>
      <c r="B863" s="751"/>
      <c r="C863" s="745" t="s">
        <v>1087</v>
      </c>
      <c r="D863" s="762"/>
      <c r="E863" s="1730"/>
      <c r="F863" s="1731"/>
      <c r="G863" s="1731"/>
      <c r="H863" s="1731"/>
      <c r="I863" s="1175"/>
      <c r="J863" s="1175"/>
      <c r="K863" s="1175"/>
      <c r="L863" s="1180"/>
      <c r="M863" s="750">
        <f t="shared" si="21"/>
        <v>0</v>
      </c>
    </row>
    <row r="864" spans="1:13" hidden="1" x14ac:dyDescent="0.25">
      <c r="A864" s="751" t="s">
        <v>546</v>
      </c>
      <c r="B864" s="751"/>
      <c r="C864" s="745" t="s">
        <v>1088</v>
      </c>
      <c r="D864" s="762"/>
      <c r="E864" s="1730"/>
      <c r="F864" s="1731"/>
      <c r="G864" s="1731"/>
      <c r="H864" s="1731"/>
      <c r="I864" s="1175"/>
      <c r="J864" s="1175"/>
      <c r="K864" s="1175"/>
      <c r="L864" s="1180"/>
      <c r="M864" s="750">
        <f t="shared" si="21"/>
        <v>0</v>
      </c>
    </row>
    <row r="865" spans="1:13" hidden="1" x14ac:dyDescent="0.25">
      <c r="A865" s="751" t="s">
        <v>547</v>
      </c>
      <c r="B865" s="751"/>
      <c r="C865" s="745" t="s">
        <v>1089</v>
      </c>
      <c r="D865" s="762"/>
      <c r="E865" s="1730"/>
      <c r="F865" s="1731"/>
      <c r="G865" s="1731"/>
      <c r="H865" s="1731"/>
      <c r="I865" s="1175"/>
      <c r="J865" s="1175"/>
      <c r="K865" s="1175"/>
      <c r="L865" s="1180"/>
      <c r="M865" s="750">
        <f t="shared" si="21"/>
        <v>0</v>
      </c>
    </row>
    <row r="866" spans="1:13" hidden="1" x14ac:dyDescent="0.25">
      <c r="A866" s="751" t="s">
        <v>548</v>
      </c>
      <c r="B866" s="751"/>
      <c r="C866" s="745" t="s">
        <v>1090</v>
      </c>
      <c r="D866" s="762"/>
      <c r="E866" s="1730"/>
      <c r="F866" s="1731"/>
      <c r="G866" s="1731"/>
      <c r="H866" s="1731"/>
      <c r="I866" s="1175"/>
      <c r="J866" s="1175"/>
      <c r="K866" s="1175"/>
      <c r="L866" s="1180"/>
      <c r="M866" s="750">
        <f t="shared" si="21"/>
        <v>0</v>
      </c>
    </row>
    <row r="867" spans="1:13" hidden="1" x14ac:dyDescent="0.25">
      <c r="A867" s="751" t="s">
        <v>549</v>
      </c>
      <c r="B867" s="751"/>
      <c r="C867" s="745" t="s">
        <v>1091</v>
      </c>
      <c r="D867" s="762"/>
      <c r="E867" s="1730"/>
      <c r="F867" s="1731"/>
      <c r="G867" s="1731"/>
      <c r="H867" s="1731"/>
      <c r="I867" s="1175"/>
      <c r="J867" s="1175"/>
      <c r="K867" s="1175"/>
      <c r="L867" s="1180"/>
      <c r="M867" s="750">
        <f t="shared" si="21"/>
        <v>0</v>
      </c>
    </row>
    <row r="868" spans="1:13" hidden="1" x14ac:dyDescent="0.25">
      <c r="A868" s="751" t="s">
        <v>550</v>
      </c>
      <c r="B868" s="751"/>
      <c r="C868" s="745" t="s">
        <v>1092</v>
      </c>
      <c r="D868" s="762"/>
      <c r="E868" s="1730"/>
      <c r="F868" s="1731"/>
      <c r="G868" s="1731"/>
      <c r="H868" s="1731"/>
      <c r="I868" s="1175"/>
      <c r="J868" s="1175"/>
      <c r="K868" s="1175"/>
      <c r="L868" s="1180"/>
      <c r="M868" s="750">
        <f t="shared" si="21"/>
        <v>0</v>
      </c>
    </row>
    <row r="869" spans="1:13" hidden="1" x14ac:dyDescent="0.25">
      <c r="A869" s="751" t="s">
        <v>551</v>
      </c>
      <c r="B869" s="751"/>
      <c r="C869" s="745" t="s">
        <v>1093</v>
      </c>
      <c r="D869" s="762"/>
      <c r="E869" s="1730"/>
      <c r="F869" s="1731"/>
      <c r="G869" s="1731"/>
      <c r="H869" s="1731"/>
      <c r="I869" s="1175"/>
      <c r="J869" s="1175"/>
      <c r="K869" s="1175"/>
      <c r="L869" s="1180"/>
      <c r="M869" s="750">
        <f t="shared" si="21"/>
        <v>0</v>
      </c>
    </row>
    <row r="870" spans="1:13" hidden="1" x14ac:dyDescent="0.25">
      <c r="A870" s="751" t="s">
        <v>552</v>
      </c>
      <c r="B870" s="751"/>
      <c r="C870" s="745" t="s">
        <v>1094</v>
      </c>
      <c r="D870" s="762"/>
      <c r="E870" s="1730"/>
      <c r="F870" s="1731"/>
      <c r="G870" s="1731"/>
      <c r="H870" s="1731"/>
      <c r="I870" s="1175"/>
      <c r="J870" s="1175"/>
      <c r="K870" s="1175"/>
      <c r="L870" s="1180"/>
      <c r="M870" s="750">
        <f t="shared" si="21"/>
        <v>0</v>
      </c>
    </row>
    <row r="871" spans="1:13" hidden="1" x14ac:dyDescent="0.25">
      <c r="A871" s="751" t="s">
        <v>553</v>
      </c>
      <c r="B871" s="751"/>
      <c r="C871" s="745" t="s">
        <v>1095</v>
      </c>
      <c r="D871" s="762"/>
      <c r="E871" s="1730"/>
      <c r="F871" s="1731"/>
      <c r="G871" s="1731"/>
      <c r="H871" s="1731"/>
      <c r="I871" s="1175"/>
      <c r="J871" s="1175"/>
      <c r="K871" s="1175"/>
      <c r="L871" s="1180"/>
      <c r="M871" s="750">
        <f t="shared" ref="M871:M902" si="22">SUM(D871:H871)</f>
        <v>0</v>
      </c>
    </row>
    <row r="872" spans="1:13" hidden="1" x14ac:dyDescent="0.25">
      <c r="A872" s="751" t="s">
        <v>554</v>
      </c>
      <c r="B872" s="751"/>
      <c r="C872" s="745" t="s">
        <v>1096</v>
      </c>
      <c r="D872" s="762"/>
      <c r="E872" s="1730"/>
      <c r="F872" s="1731"/>
      <c r="G872" s="1731"/>
      <c r="H872" s="1731"/>
      <c r="I872" s="1175"/>
      <c r="J872" s="1175"/>
      <c r="K872" s="1175"/>
      <c r="L872" s="1180"/>
      <c r="M872" s="750">
        <f t="shared" si="22"/>
        <v>0</v>
      </c>
    </row>
    <row r="873" spans="1:13" hidden="1" x14ac:dyDescent="0.25">
      <c r="A873" s="751" t="s">
        <v>555</v>
      </c>
      <c r="B873" s="751"/>
      <c r="C873" s="745" t="s">
        <v>1097</v>
      </c>
      <c r="D873" s="762"/>
      <c r="E873" s="1730"/>
      <c r="F873" s="1731"/>
      <c r="G873" s="1731"/>
      <c r="H873" s="1731"/>
      <c r="I873" s="1175"/>
      <c r="J873" s="1175"/>
      <c r="K873" s="1175"/>
      <c r="L873" s="1180"/>
      <c r="M873" s="750">
        <f t="shared" si="22"/>
        <v>0</v>
      </c>
    </row>
    <row r="874" spans="1:13" hidden="1" x14ac:dyDescent="0.25">
      <c r="A874" s="751" t="s">
        <v>556</v>
      </c>
      <c r="B874" s="751"/>
      <c r="C874" s="745" t="s">
        <v>1098</v>
      </c>
      <c r="D874" s="762"/>
      <c r="E874" s="1730"/>
      <c r="F874" s="1731"/>
      <c r="G874" s="1731"/>
      <c r="H874" s="1731"/>
      <c r="I874" s="1175"/>
      <c r="J874" s="1175"/>
      <c r="K874" s="1175"/>
      <c r="L874" s="1180"/>
      <c r="M874" s="750">
        <f t="shared" si="22"/>
        <v>0</v>
      </c>
    </row>
    <row r="875" spans="1:13" hidden="1" x14ac:dyDescent="0.25">
      <c r="A875" s="751" t="s">
        <v>557</v>
      </c>
      <c r="B875" s="751"/>
      <c r="C875" s="745" t="s">
        <v>1099</v>
      </c>
      <c r="D875" s="762"/>
      <c r="E875" s="1730"/>
      <c r="F875" s="1731"/>
      <c r="G875" s="1731"/>
      <c r="H875" s="1731"/>
      <c r="I875" s="1175"/>
      <c r="J875" s="1175"/>
      <c r="K875" s="1175"/>
      <c r="L875" s="1180"/>
      <c r="M875" s="750">
        <f t="shared" si="22"/>
        <v>0</v>
      </c>
    </row>
    <row r="876" spans="1:13" hidden="1" x14ac:dyDescent="0.25">
      <c r="A876" s="751" t="s">
        <v>558</v>
      </c>
      <c r="B876" s="751"/>
      <c r="C876" s="745" t="s">
        <v>1100</v>
      </c>
      <c r="D876" s="762"/>
      <c r="E876" s="1730"/>
      <c r="F876" s="1731"/>
      <c r="G876" s="1731"/>
      <c r="H876" s="1731"/>
      <c r="I876" s="1175"/>
      <c r="J876" s="1175"/>
      <c r="K876" s="1175"/>
      <c r="L876" s="1180"/>
      <c r="M876" s="750">
        <f t="shared" si="22"/>
        <v>0</v>
      </c>
    </row>
    <row r="877" spans="1:13" hidden="1" x14ac:dyDescent="0.25">
      <c r="A877" s="751" t="s">
        <v>559</v>
      </c>
      <c r="B877" s="751"/>
      <c r="C877" s="745" t="s">
        <v>1101</v>
      </c>
      <c r="D877" s="762"/>
      <c r="E877" s="1730"/>
      <c r="F877" s="1731"/>
      <c r="G877" s="1731"/>
      <c r="H877" s="1731"/>
      <c r="I877" s="1175"/>
      <c r="J877" s="1175"/>
      <c r="K877" s="1175"/>
      <c r="L877" s="1180"/>
      <c r="M877" s="750">
        <f t="shared" si="22"/>
        <v>0</v>
      </c>
    </row>
    <row r="878" spans="1:13" hidden="1" x14ac:dyDescent="0.25">
      <c r="A878" s="751" t="s">
        <v>560</v>
      </c>
      <c r="B878" s="751"/>
      <c r="C878" s="745" t="s">
        <v>1102</v>
      </c>
      <c r="D878" s="762"/>
      <c r="E878" s="1730"/>
      <c r="F878" s="1731"/>
      <c r="G878" s="1731"/>
      <c r="H878" s="1731"/>
      <c r="I878" s="1175"/>
      <c r="J878" s="1175"/>
      <c r="K878" s="1175"/>
      <c r="L878" s="1180"/>
      <c r="M878" s="750">
        <f t="shared" si="22"/>
        <v>0</v>
      </c>
    </row>
    <row r="879" spans="1:13" hidden="1" x14ac:dyDescent="0.25">
      <c r="A879" s="751" t="s">
        <v>561</v>
      </c>
      <c r="B879" s="751"/>
      <c r="C879" s="745" t="s">
        <v>1103</v>
      </c>
      <c r="D879" s="762"/>
      <c r="E879" s="1730"/>
      <c r="F879" s="1731"/>
      <c r="G879" s="1731"/>
      <c r="H879" s="1731"/>
      <c r="I879" s="1175"/>
      <c r="J879" s="1175"/>
      <c r="K879" s="1175"/>
      <c r="L879" s="1180"/>
      <c r="M879" s="750">
        <f t="shared" si="22"/>
        <v>0</v>
      </c>
    </row>
    <row r="880" spans="1:13" hidden="1" x14ac:dyDescent="0.25">
      <c r="A880" s="751" t="s">
        <v>562</v>
      </c>
      <c r="B880" s="751"/>
      <c r="C880" s="745" t="s">
        <v>1104</v>
      </c>
      <c r="D880" s="762"/>
      <c r="E880" s="1730"/>
      <c r="F880" s="1731"/>
      <c r="G880" s="1731"/>
      <c r="H880" s="1731"/>
      <c r="I880" s="1175"/>
      <c r="J880" s="1175"/>
      <c r="K880" s="1175"/>
      <c r="L880" s="1180"/>
      <c r="M880" s="750">
        <f t="shared" si="22"/>
        <v>0</v>
      </c>
    </row>
    <row r="881" spans="1:13" hidden="1" x14ac:dyDescent="0.25">
      <c r="A881" s="751" t="s">
        <v>563</v>
      </c>
      <c r="B881" s="751"/>
      <c r="C881" s="745" t="s">
        <v>1105</v>
      </c>
      <c r="D881" s="762"/>
      <c r="E881" s="1730"/>
      <c r="F881" s="1731"/>
      <c r="G881" s="1731"/>
      <c r="H881" s="1731"/>
      <c r="I881" s="1175"/>
      <c r="J881" s="1175"/>
      <c r="K881" s="1175"/>
      <c r="L881" s="1180"/>
      <c r="M881" s="750">
        <f t="shared" si="22"/>
        <v>0</v>
      </c>
    </row>
    <row r="882" spans="1:13" hidden="1" x14ac:dyDescent="0.25">
      <c r="A882" s="751" t="s">
        <v>564</v>
      </c>
      <c r="B882" s="751"/>
      <c r="C882" s="745" t="s">
        <v>1106</v>
      </c>
      <c r="D882" s="762"/>
      <c r="E882" s="1730"/>
      <c r="F882" s="1731"/>
      <c r="G882" s="1731"/>
      <c r="H882" s="1731"/>
      <c r="I882" s="1175"/>
      <c r="J882" s="1175"/>
      <c r="K882" s="1175"/>
      <c r="L882" s="1180"/>
      <c r="M882" s="750">
        <f t="shared" si="22"/>
        <v>0</v>
      </c>
    </row>
    <row r="883" spans="1:13" hidden="1" x14ac:dyDescent="0.25">
      <c r="A883" s="751" t="s">
        <v>565</v>
      </c>
      <c r="B883" s="751"/>
      <c r="C883" s="745" t="s">
        <v>1107</v>
      </c>
      <c r="D883" s="762"/>
      <c r="E883" s="1730"/>
      <c r="F883" s="1731"/>
      <c r="G883" s="1731"/>
      <c r="H883" s="1731"/>
      <c r="I883" s="1175"/>
      <c r="J883" s="1175"/>
      <c r="K883" s="1175"/>
      <c r="L883" s="1180"/>
      <c r="M883" s="750">
        <f t="shared" si="22"/>
        <v>0</v>
      </c>
    </row>
    <row r="884" spans="1:13" hidden="1" x14ac:dyDescent="0.25">
      <c r="A884" s="751" t="s">
        <v>566</v>
      </c>
      <c r="B884" s="751"/>
      <c r="C884" s="745" t="s">
        <v>1108</v>
      </c>
      <c r="D884" s="762"/>
      <c r="E884" s="1730"/>
      <c r="F884" s="1731"/>
      <c r="G884" s="1731"/>
      <c r="H884" s="1731"/>
      <c r="I884" s="1175"/>
      <c r="J884" s="1175"/>
      <c r="K884" s="1175"/>
      <c r="L884" s="1180"/>
      <c r="M884" s="750">
        <f t="shared" si="22"/>
        <v>0</v>
      </c>
    </row>
    <row r="885" spans="1:13" hidden="1" x14ac:dyDescent="0.25">
      <c r="A885" s="751" t="s">
        <v>567</v>
      </c>
      <c r="B885" s="751"/>
      <c r="C885" s="745" t="s">
        <v>1109</v>
      </c>
      <c r="D885" s="762"/>
      <c r="E885" s="1730"/>
      <c r="F885" s="1731"/>
      <c r="G885" s="1731"/>
      <c r="H885" s="1731"/>
      <c r="I885" s="1175"/>
      <c r="J885" s="1175"/>
      <c r="K885" s="1175"/>
      <c r="L885" s="1180"/>
      <c r="M885" s="750">
        <f t="shared" si="22"/>
        <v>0</v>
      </c>
    </row>
    <row r="886" spans="1:13" hidden="1" x14ac:dyDescent="0.25">
      <c r="A886" s="751" t="s">
        <v>780</v>
      </c>
      <c r="B886" s="751"/>
      <c r="C886" s="745" t="s">
        <v>1110</v>
      </c>
      <c r="D886" s="762"/>
      <c r="E886" s="1730"/>
      <c r="F886" s="1731"/>
      <c r="G886" s="1731"/>
      <c r="H886" s="1731"/>
      <c r="I886" s="1175"/>
      <c r="J886" s="1175"/>
      <c r="K886" s="1175"/>
      <c r="L886" s="1180"/>
      <c r="M886" s="750">
        <f t="shared" si="22"/>
        <v>0</v>
      </c>
    </row>
    <row r="887" spans="1:13" hidden="1" x14ac:dyDescent="0.25">
      <c r="A887" s="751" t="s">
        <v>781</v>
      </c>
      <c r="B887" s="751"/>
      <c r="C887" s="745" t="s">
        <v>1111</v>
      </c>
      <c r="D887" s="762"/>
      <c r="E887" s="1730"/>
      <c r="F887" s="1731"/>
      <c r="G887" s="1731"/>
      <c r="H887" s="1731"/>
      <c r="I887" s="1175"/>
      <c r="J887" s="1175"/>
      <c r="K887" s="1175"/>
      <c r="L887" s="1180"/>
      <c r="M887" s="750">
        <f t="shared" si="22"/>
        <v>0</v>
      </c>
    </row>
    <row r="888" spans="1:13" hidden="1" x14ac:dyDescent="0.25">
      <c r="A888" s="751" t="s">
        <v>782</v>
      </c>
      <c r="B888" s="751"/>
      <c r="C888" s="745" t="s">
        <v>1112</v>
      </c>
      <c r="D888" s="762"/>
      <c r="E888" s="1730"/>
      <c r="F888" s="1731"/>
      <c r="G888" s="1731"/>
      <c r="H888" s="1731"/>
      <c r="I888" s="1175"/>
      <c r="J888" s="1175"/>
      <c r="K888" s="1175"/>
      <c r="L888" s="1180"/>
      <c r="M888" s="750">
        <f t="shared" si="22"/>
        <v>0</v>
      </c>
    </row>
    <row r="889" spans="1:13" hidden="1" x14ac:dyDescent="0.25">
      <c r="A889" s="751" t="s">
        <v>783</v>
      </c>
      <c r="B889" s="751"/>
      <c r="C889" s="745" t="s">
        <v>1113</v>
      </c>
      <c r="D889" s="762"/>
      <c r="E889" s="1730"/>
      <c r="F889" s="1731"/>
      <c r="G889" s="1731"/>
      <c r="H889" s="1731"/>
      <c r="I889" s="1175"/>
      <c r="J889" s="1175"/>
      <c r="K889" s="1175"/>
      <c r="L889" s="1180"/>
      <c r="M889" s="750">
        <f t="shared" si="22"/>
        <v>0</v>
      </c>
    </row>
    <row r="890" spans="1:13" hidden="1" x14ac:dyDescent="0.25">
      <c r="A890" s="751" t="s">
        <v>784</v>
      </c>
      <c r="B890" s="751"/>
      <c r="C890" s="745" t="s">
        <v>1114</v>
      </c>
      <c r="D890" s="762"/>
      <c r="E890" s="1730"/>
      <c r="F890" s="1731"/>
      <c r="G890" s="1731"/>
      <c r="H890" s="1731"/>
      <c r="I890" s="1175"/>
      <c r="J890" s="1175"/>
      <c r="K890" s="1175"/>
      <c r="L890" s="1180"/>
      <c r="M890" s="750">
        <f t="shared" si="22"/>
        <v>0</v>
      </c>
    </row>
    <row r="891" spans="1:13" hidden="1" x14ac:dyDescent="0.25">
      <c r="A891" s="751" t="s">
        <v>785</v>
      </c>
      <c r="B891" s="751"/>
      <c r="C891" s="745" t="s">
        <v>1115</v>
      </c>
      <c r="D891" s="762"/>
      <c r="E891" s="1730"/>
      <c r="F891" s="1731"/>
      <c r="G891" s="1731"/>
      <c r="H891" s="1731"/>
      <c r="I891" s="1175"/>
      <c r="J891" s="1175"/>
      <c r="K891" s="1175"/>
      <c r="L891" s="1180"/>
      <c r="M891" s="750">
        <f t="shared" si="22"/>
        <v>0</v>
      </c>
    </row>
    <row r="892" spans="1:13" hidden="1" x14ac:dyDescent="0.25">
      <c r="A892" s="751" t="s">
        <v>910</v>
      </c>
      <c r="B892" s="751"/>
      <c r="C892" s="745" t="s">
        <v>1116</v>
      </c>
      <c r="D892" s="914"/>
      <c r="E892" s="1730"/>
      <c r="F892" s="1731"/>
      <c r="G892" s="1731"/>
      <c r="H892" s="1731"/>
      <c r="I892" s="1175"/>
      <c r="J892" s="1175"/>
      <c r="K892" s="1175"/>
      <c r="L892" s="1180"/>
      <c r="M892" s="750">
        <f t="shared" si="22"/>
        <v>0</v>
      </c>
    </row>
    <row r="893" spans="1:13" hidden="1" x14ac:dyDescent="0.25">
      <c r="A893" s="751" t="s">
        <v>911</v>
      </c>
      <c r="B893" s="751"/>
      <c r="C893" s="745" t="s">
        <v>1117</v>
      </c>
      <c r="D893" s="762"/>
      <c r="E893" s="1730"/>
      <c r="F893" s="1731"/>
      <c r="G893" s="1731"/>
      <c r="H893" s="1731"/>
      <c r="I893" s="1175"/>
      <c r="J893" s="1175"/>
      <c r="K893" s="1175"/>
      <c r="L893" s="1180"/>
      <c r="M893" s="750">
        <f t="shared" si="22"/>
        <v>0</v>
      </c>
    </row>
    <row r="894" spans="1:13" hidden="1" x14ac:dyDescent="0.25">
      <c r="A894" s="751" t="s">
        <v>1118</v>
      </c>
      <c r="B894" s="751"/>
      <c r="C894" s="745" t="s">
        <v>1119</v>
      </c>
      <c r="D894" s="762"/>
      <c r="E894" s="1730"/>
      <c r="F894" s="1731"/>
      <c r="G894" s="1731"/>
      <c r="H894" s="1731"/>
      <c r="I894" s="1175"/>
      <c r="J894" s="1175"/>
      <c r="K894" s="1175"/>
      <c r="L894" s="1180"/>
      <c r="M894" s="750">
        <f t="shared" si="22"/>
        <v>0</v>
      </c>
    </row>
    <row r="895" spans="1:13" hidden="1" x14ac:dyDescent="0.25">
      <c r="A895" s="751" t="s">
        <v>1120</v>
      </c>
      <c r="B895" s="751"/>
      <c r="C895" s="745" t="s">
        <v>1121</v>
      </c>
      <c r="D895" s="762"/>
      <c r="E895" s="1730"/>
      <c r="F895" s="1731"/>
      <c r="G895" s="1731"/>
      <c r="H895" s="1731"/>
      <c r="I895" s="1175"/>
      <c r="J895" s="1175"/>
      <c r="K895" s="1175"/>
      <c r="L895" s="1180"/>
      <c r="M895" s="750">
        <f t="shared" si="22"/>
        <v>0</v>
      </c>
    </row>
    <row r="896" spans="1:13" hidden="1" x14ac:dyDescent="0.25">
      <c r="A896" s="751" t="s">
        <v>1122</v>
      </c>
      <c r="B896" s="751"/>
      <c r="C896" s="745" t="s">
        <v>1123</v>
      </c>
      <c r="D896" s="762"/>
      <c r="E896" s="1730"/>
      <c r="F896" s="1731"/>
      <c r="G896" s="1731"/>
      <c r="H896" s="1731"/>
      <c r="I896" s="1175"/>
      <c r="J896" s="1175"/>
      <c r="K896" s="1175"/>
      <c r="L896" s="1180"/>
      <c r="M896" s="750">
        <f t="shared" si="22"/>
        <v>0</v>
      </c>
    </row>
    <row r="897" spans="1:19" hidden="1" x14ac:dyDescent="0.25">
      <c r="A897" s="751" t="s">
        <v>1124</v>
      </c>
      <c r="B897" s="751"/>
      <c r="C897" s="745" t="s">
        <v>1125</v>
      </c>
      <c r="D897" s="762"/>
      <c r="E897" s="1730"/>
      <c r="F897" s="1731"/>
      <c r="G897" s="1731"/>
      <c r="H897" s="1731"/>
      <c r="I897" s="1175"/>
      <c r="J897" s="1175"/>
      <c r="K897" s="1175"/>
      <c r="L897" s="1180"/>
      <c r="M897" s="750">
        <f t="shared" si="22"/>
        <v>0</v>
      </c>
    </row>
    <row r="898" spans="1:19" hidden="1" x14ac:dyDescent="0.25">
      <c r="A898" s="751" t="s">
        <v>1126</v>
      </c>
      <c r="B898" s="751"/>
      <c r="C898" s="745" t="s">
        <v>1127</v>
      </c>
      <c r="D898" s="762"/>
      <c r="E898" s="1730"/>
      <c r="F898" s="1731"/>
      <c r="G898" s="1731"/>
      <c r="H898" s="1731"/>
      <c r="I898" s="1175"/>
      <c r="J898" s="1175"/>
      <c r="K898" s="1175"/>
      <c r="L898" s="1180"/>
      <c r="M898" s="750">
        <f t="shared" si="22"/>
        <v>0</v>
      </c>
    </row>
    <row r="899" spans="1:19" hidden="1" x14ac:dyDescent="0.25">
      <c r="A899" s="751" t="s">
        <v>1128</v>
      </c>
      <c r="B899" s="751"/>
      <c r="C899" s="745" t="s">
        <v>1129</v>
      </c>
      <c r="D899" s="762"/>
      <c r="E899" s="1730"/>
      <c r="F899" s="1731"/>
      <c r="G899" s="1731"/>
      <c r="H899" s="1731"/>
      <c r="I899" s="1175"/>
      <c r="J899" s="1175"/>
      <c r="K899" s="1175"/>
      <c r="L899" s="1180"/>
      <c r="M899" s="750">
        <f t="shared" si="22"/>
        <v>0</v>
      </c>
    </row>
    <row r="900" spans="1:19" hidden="1" x14ac:dyDescent="0.25">
      <c r="A900" s="751" t="s">
        <v>1130</v>
      </c>
      <c r="B900" s="751"/>
      <c r="C900" s="745" t="s">
        <v>1131</v>
      </c>
      <c r="D900" s="762"/>
      <c r="E900" s="1730"/>
      <c r="F900" s="1731"/>
      <c r="G900" s="1731"/>
      <c r="H900" s="1731"/>
      <c r="I900" s="1175"/>
      <c r="J900" s="1175"/>
      <c r="K900" s="1175"/>
      <c r="L900" s="1180"/>
      <c r="M900" s="750">
        <f t="shared" si="22"/>
        <v>0</v>
      </c>
    </row>
    <row r="901" spans="1:19" hidden="1" x14ac:dyDescent="0.25">
      <c r="A901" s="751" t="s">
        <v>1132</v>
      </c>
      <c r="B901" s="751"/>
      <c r="C901" s="745" t="s">
        <v>1133</v>
      </c>
      <c r="D901" s="762"/>
      <c r="E901" s="1730"/>
      <c r="F901" s="1731"/>
      <c r="G901" s="1731"/>
      <c r="H901" s="1731"/>
      <c r="I901" s="1175"/>
      <c r="J901" s="1175"/>
      <c r="K901" s="1175"/>
      <c r="L901" s="1180"/>
      <c r="M901" s="750">
        <f t="shared" si="22"/>
        <v>0</v>
      </c>
    </row>
    <row r="902" spans="1:19" hidden="1" x14ac:dyDescent="0.25">
      <c r="A902" s="751" t="s">
        <v>1134</v>
      </c>
      <c r="B902" s="751"/>
      <c r="C902" s="745" t="s">
        <v>1135</v>
      </c>
      <c r="D902" s="762"/>
      <c r="E902" s="1730"/>
      <c r="F902" s="1731"/>
      <c r="G902" s="1731"/>
      <c r="H902" s="1731"/>
      <c r="I902" s="1175"/>
      <c r="J902" s="1175"/>
      <c r="K902" s="1175"/>
      <c r="L902" s="1180"/>
      <c r="M902" s="750">
        <f t="shared" si="22"/>
        <v>0</v>
      </c>
    </row>
    <row r="903" spans="1:19" hidden="1" x14ac:dyDescent="0.25">
      <c r="A903" s="751" t="s">
        <v>1136</v>
      </c>
      <c r="B903" s="751"/>
      <c r="C903" s="745" t="s">
        <v>1137</v>
      </c>
      <c r="D903" s="762"/>
      <c r="E903" s="1730"/>
      <c r="F903" s="1731"/>
      <c r="G903" s="1731"/>
      <c r="H903" s="1731"/>
      <c r="I903" s="1175"/>
      <c r="J903" s="1175"/>
      <c r="K903" s="1175"/>
      <c r="L903" s="1180"/>
      <c r="M903" s="750">
        <f t="shared" ref="M903:M912" si="23">SUM(D903:H903)</f>
        <v>0</v>
      </c>
    </row>
    <row r="904" spans="1:19" hidden="1" x14ac:dyDescent="0.25">
      <c r="A904" s="751" t="s">
        <v>1138</v>
      </c>
      <c r="B904" s="751"/>
      <c r="C904" s="745" t="s">
        <v>1139</v>
      </c>
      <c r="D904" s="762"/>
      <c r="E904" s="1730"/>
      <c r="F904" s="1731"/>
      <c r="G904" s="1731"/>
      <c r="H904" s="1731"/>
      <c r="I904" s="1175"/>
      <c r="J904" s="1175"/>
      <c r="K904" s="1175"/>
      <c r="L904" s="1180"/>
      <c r="M904" s="750">
        <f t="shared" si="23"/>
        <v>0</v>
      </c>
    </row>
    <row r="905" spans="1:19" hidden="1" x14ac:dyDescent="0.25">
      <c r="A905" s="751" t="s">
        <v>1140</v>
      </c>
      <c r="B905" s="751"/>
      <c r="C905" s="745" t="s">
        <v>1141</v>
      </c>
      <c r="D905" s="762"/>
      <c r="E905" s="1730"/>
      <c r="F905" s="1731"/>
      <c r="G905" s="1731"/>
      <c r="H905" s="1731"/>
      <c r="I905" s="1175"/>
      <c r="J905" s="1175"/>
      <c r="K905" s="1175"/>
      <c r="L905" s="1180"/>
      <c r="M905" s="750">
        <f t="shared" si="23"/>
        <v>0</v>
      </c>
    </row>
    <row r="906" spans="1:19" hidden="1" x14ac:dyDescent="0.25">
      <c r="A906" s="751" t="s">
        <v>1142</v>
      </c>
      <c r="B906" s="751"/>
      <c r="C906" s="745" t="s">
        <v>1143</v>
      </c>
      <c r="D906" s="762"/>
      <c r="E906" s="1730"/>
      <c r="F906" s="1731"/>
      <c r="G906" s="1731"/>
      <c r="H906" s="1731"/>
      <c r="I906" s="1175"/>
      <c r="J906" s="1175"/>
      <c r="K906" s="1175"/>
      <c r="L906" s="1180"/>
      <c r="M906" s="750">
        <f t="shared" si="23"/>
        <v>0</v>
      </c>
    </row>
    <row r="907" spans="1:19" hidden="1" x14ac:dyDescent="0.25">
      <c r="A907" s="751" t="s">
        <v>1144</v>
      </c>
      <c r="B907" s="751"/>
      <c r="C907" s="745" t="s">
        <v>1145</v>
      </c>
      <c r="D907" s="762"/>
      <c r="E907" s="1730"/>
      <c r="F907" s="1731"/>
      <c r="G907" s="1731"/>
      <c r="H907" s="1731"/>
      <c r="I907" s="1175"/>
      <c r="J907" s="1175"/>
      <c r="K907" s="1175"/>
      <c r="L907" s="1180"/>
      <c r="M907" s="750">
        <f t="shared" si="23"/>
        <v>0</v>
      </c>
    </row>
    <row r="908" spans="1:19" hidden="1" x14ac:dyDescent="0.25">
      <c r="A908" s="751" t="s">
        <v>1146</v>
      </c>
      <c r="B908" s="751"/>
      <c r="C908" s="745" t="s">
        <v>1147</v>
      </c>
      <c r="D908" s="762"/>
      <c r="E908" s="1730"/>
      <c r="F908" s="1731"/>
      <c r="G908" s="1731"/>
      <c r="H908" s="1731"/>
      <c r="I908" s="1175"/>
      <c r="J908" s="1175"/>
      <c r="K908" s="1175"/>
      <c r="L908" s="1180"/>
      <c r="M908" s="750">
        <f t="shared" si="23"/>
        <v>0</v>
      </c>
    </row>
    <row r="909" spans="1:19" hidden="1" x14ac:dyDescent="0.25">
      <c r="A909" s="751" t="s">
        <v>1148</v>
      </c>
      <c r="B909" s="751"/>
      <c r="C909" s="745" t="s">
        <v>1149</v>
      </c>
      <c r="D909" s="762"/>
      <c r="E909" s="1730"/>
      <c r="F909" s="1731"/>
      <c r="G909" s="1731"/>
      <c r="H909" s="1731"/>
      <c r="I909" s="1175"/>
      <c r="J909" s="1175"/>
      <c r="K909" s="1175"/>
      <c r="L909" s="1180"/>
      <c r="M909" s="750">
        <f t="shared" si="23"/>
        <v>0</v>
      </c>
    </row>
    <row r="910" spans="1:19" x14ac:dyDescent="0.25">
      <c r="A910" s="788"/>
      <c r="B910" s="788"/>
      <c r="C910" s="865" t="s">
        <v>168</v>
      </c>
      <c r="D910" s="1375">
        <v>3386260</v>
      </c>
      <c r="E910" s="1736"/>
      <c r="F910" s="1737"/>
      <c r="G910" s="1737"/>
      <c r="H910" s="1737"/>
      <c r="I910" s="1176"/>
      <c r="J910" s="1176"/>
      <c r="K910" s="1176"/>
      <c r="L910" s="1177"/>
      <c r="M910" s="750">
        <f t="shared" si="23"/>
        <v>3386260</v>
      </c>
    </row>
    <row r="911" spans="1:19" ht="164.45" customHeight="1" x14ac:dyDescent="0.25">
      <c r="A911" s="1741" t="s">
        <v>575</v>
      </c>
      <c r="B911" s="1738">
        <v>9770</v>
      </c>
      <c r="C911" s="1753" t="s">
        <v>305</v>
      </c>
      <c r="D911" s="1089">
        <f>SUM(D915:D981)</f>
        <v>8620000</v>
      </c>
      <c r="E911" s="1589" t="s">
        <v>2306</v>
      </c>
      <c r="F911" s="1589" t="s">
        <v>1534</v>
      </c>
      <c r="G911" s="1590" t="s">
        <v>1916</v>
      </c>
      <c r="H911" s="1586"/>
      <c r="I911" s="1586"/>
      <c r="J911" s="1203"/>
      <c r="K911" s="1203"/>
      <c r="L911" s="1204"/>
      <c r="M911" s="750">
        <f t="shared" si="23"/>
        <v>8620000</v>
      </c>
      <c r="Q911" s="302">
        <v>8500000</v>
      </c>
      <c r="R911" s="302" t="s">
        <v>2318</v>
      </c>
      <c r="S911" s="302" t="s">
        <v>1534</v>
      </c>
    </row>
    <row r="912" spans="1:19" ht="37.5" customHeight="1" x14ac:dyDescent="0.25">
      <c r="A912" s="1742"/>
      <c r="B912" s="1739"/>
      <c r="C912" s="1754"/>
      <c r="D912" s="1090"/>
      <c r="E912" s="1588">
        <f>SUM(E915:E981)</f>
        <v>7000000</v>
      </c>
      <c r="F912" s="1588">
        <f>SUM(F915:F981)</f>
        <v>1500000</v>
      </c>
      <c r="G912" s="1497">
        <f>SUM(G915:G981)</f>
        <v>120000</v>
      </c>
      <c r="H912" s="1215"/>
      <c r="I912" s="1215"/>
      <c r="J912" s="1215"/>
      <c r="K912" s="1215"/>
      <c r="L912" s="1178"/>
      <c r="M912" s="750">
        <f t="shared" si="23"/>
        <v>8620000</v>
      </c>
      <c r="R912" s="302">
        <v>7000000</v>
      </c>
      <c r="S912" s="302">
        <v>1500000</v>
      </c>
    </row>
    <row r="913" spans="1:35" ht="62.25" customHeight="1" x14ac:dyDescent="0.25">
      <c r="A913" s="1742"/>
      <c r="B913" s="1739"/>
      <c r="C913" s="1754"/>
      <c r="D913" s="1090"/>
      <c r="E913" s="1495"/>
      <c r="F913" s="1495"/>
      <c r="G913" s="1498"/>
      <c r="H913" s="1215"/>
      <c r="I913" s="1215"/>
      <c r="J913" s="1215"/>
      <c r="K913" s="1215"/>
      <c r="L913" s="1178"/>
      <c r="M913" s="750">
        <v>1</v>
      </c>
      <c r="O913" s="857" t="b">
        <f>D982=дод3!F204</f>
        <v>1</v>
      </c>
      <c r="P913" s="857"/>
      <c r="V913" s="851"/>
      <c r="W913" s="851" t="s">
        <v>739</v>
      </c>
      <c r="X913" s="1589" t="s">
        <v>2306</v>
      </c>
      <c r="Y913" s="1589" t="s">
        <v>1534</v>
      </c>
      <c r="Z913" s="1590" t="s">
        <v>1916</v>
      </c>
      <c r="AA913" s="851"/>
      <c r="AB913" s="851"/>
    </row>
    <row r="914" spans="1:35" ht="15.75" customHeight="1" x14ac:dyDescent="0.25">
      <c r="A914" s="1743"/>
      <c r="B914" s="1740"/>
      <c r="C914" s="1755"/>
      <c r="D914" s="1091"/>
      <c r="E914" s="1496"/>
      <c r="F914" s="1496"/>
      <c r="G914" s="1499"/>
      <c r="H914" s="1272"/>
      <c r="I914" s="1272"/>
      <c r="J914" s="1272"/>
      <c r="K914" s="1272"/>
      <c r="L914" s="1179"/>
      <c r="M914" s="750">
        <v>1</v>
      </c>
      <c r="V914" s="851"/>
      <c r="W914" s="1591">
        <f>SUM(W915:W981)</f>
        <v>120000</v>
      </c>
      <c r="X914" s="1591">
        <f>SUM(X915:X981)</f>
        <v>0</v>
      </c>
      <c r="Y914" s="1591">
        <f>SUM(Y915:Y981)</f>
        <v>0</v>
      </c>
      <c r="Z914" s="1591">
        <f>SUM(Z915:Z981)</f>
        <v>120000</v>
      </c>
      <c r="AA914" s="851"/>
      <c r="AB914" s="851"/>
    </row>
    <row r="915" spans="1:35" hidden="1" x14ac:dyDescent="0.25">
      <c r="A915" s="751" t="s">
        <v>526</v>
      </c>
      <c r="B915" s="751"/>
      <c r="C915" s="745" t="s">
        <v>1060</v>
      </c>
      <c r="D915" s="311">
        <f>SUM(E915:I915)</f>
        <v>0</v>
      </c>
      <c r="E915" s="311">
        <f>1700-1700</f>
        <v>0</v>
      </c>
      <c r="F915" s="311"/>
      <c r="G915" s="311"/>
      <c r="H915" s="311"/>
      <c r="I915" s="311"/>
      <c r="J915" s="311"/>
      <c r="K915" s="311"/>
      <c r="L915" s="311"/>
      <c r="M915" s="750">
        <f t="shared" ref="M915:M946" si="24">SUM(D915:H915)</f>
        <v>0</v>
      </c>
      <c r="Q915" s="302">
        <v>1700</v>
      </c>
      <c r="R915" s="302">
        <v>1700</v>
      </c>
      <c r="S915" s="311"/>
      <c r="T915" s="302" t="b">
        <f t="shared" ref="T915:T946" si="25">S915+R915=Q915</f>
        <v>1</v>
      </c>
      <c r="V915" s="1587" t="s">
        <v>1060</v>
      </c>
      <c r="W915" s="1591">
        <f t="shared" ref="W915:W920" si="26">X915+Y915+Z915</f>
        <v>-1700</v>
      </c>
      <c r="X915" s="1591">
        <f>E915-R915</f>
        <v>-1700</v>
      </c>
      <c r="Y915" s="1591">
        <f>F915-S915</f>
        <v>0</v>
      </c>
      <c r="Z915" s="1591">
        <f>G915</f>
        <v>0</v>
      </c>
      <c r="AA915" s="1591">
        <f>Z915+Y915+X915-W915</f>
        <v>0</v>
      </c>
      <c r="AB915" s="1591" t="b">
        <f>D915-Q915=W915</f>
        <v>1</v>
      </c>
      <c r="AD915" s="1728"/>
      <c r="AE915" s="1728"/>
      <c r="AF915" s="743"/>
      <c r="AG915" s="743"/>
      <c r="AH915" s="743"/>
      <c r="AI915" s="743"/>
    </row>
    <row r="916" spans="1:35" ht="20.25" customHeight="1" x14ac:dyDescent="0.25">
      <c r="A916" s="751" t="s">
        <v>527</v>
      </c>
      <c r="B916" s="751"/>
      <c r="C916" s="745" t="s">
        <v>1069</v>
      </c>
      <c r="D916" s="311">
        <f t="shared" ref="D916:D979" si="27">SUM(E916:I916)</f>
        <v>1700</v>
      </c>
      <c r="E916" s="311">
        <v>1700</v>
      </c>
      <c r="F916" s="311"/>
      <c r="G916" s="311"/>
      <c r="H916" s="311"/>
      <c r="I916" s="311"/>
      <c r="J916" s="311"/>
      <c r="K916" s="311"/>
      <c r="L916" s="311"/>
      <c r="M916" s="750">
        <f t="shared" si="24"/>
        <v>3400</v>
      </c>
      <c r="Q916" s="302">
        <v>1700</v>
      </c>
      <c r="R916" s="302">
        <v>1700</v>
      </c>
      <c r="S916" s="1585"/>
      <c r="T916" s="302" t="b">
        <f t="shared" si="25"/>
        <v>1</v>
      </c>
      <c r="V916" s="1587" t="s">
        <v>1069</v>
      </c>
      <c r="W916" s="1591">
        <f t="shared" si="26"/>
        <v>0</v>
      </c>
      <c r="X916" s="1591">
        <f t="shared" ref="X916:X947" si="28">E916-R916</f>
        <v>0</v>
      </c>
      <c r="Y916" s="1591">
        <f t="shared" ref="Y916:Y979" si="29">F916-S916</f>
        <v>0</v>
      </c>
      <c r="Z916" s="1591">
        <f t="shared" ref="Z916:Z979" si="30">G916</f>
        <v>0</v>
      </c>
      <c r="AA916" s="1591">
        <f t="shared" ref="AA916:AA979" si="31">Z916+Y916+X916-W916</f>
        <v>0</v>
      </c>
      <c r="AB916" s="1591" t="b">
        <f t="shared" ref="AB916:AB979" si="32">D916-Q916=W916</f>
        <v>1</v>
      </c>
      <c r="AD916" s="1728"/>
      <c r="AE916" s="1728"/>
      <c r="AF916" s="743"/>
      <c r="AG916" s="743"/>
      <c r="AH916" s="743"/>
      <c r="AI916" s="743"/>
    </row>
    <row r="917" spans="1:35" ht="15.75" customHeight="1" x14ac:dyDescent="0.25">
      <c r="A917" s="751" t="s">
        <v>528</v>
      </c>
      <c r="B917" s="751"/>
      <c r="C917" s="745" t="s">
        <v>1070</v>
      </c>
      <c r="D917" s="311">
        <f t="shared" si="27"/>
        <v>900</v>
      </c>
      <c r="E917" s="311">
        <v>900</v>
      </c>
      <c r="F917" s="311"/>
      <c r="G917" s="311"/>
      <c r="H917" s="311"/>
      <c r="I917" s="311"/>
      <c r="J917" s="311"/>
      <c r="K917" s="311"/>
      <c r="L917" s="311"/>
      <c r="M917" s="750">
        <f t="shared" si="24"/>
        <v>1800</v>
      </c>
      <c r="Q917" s="302">
        <v>900</v>
      </c>
      <c r="R917" s="302">
        <v>900</v>
      </c>
      <c r="S917" s="1585"/>
      <c r="T917" s="302" t="b">
        <f t="shared" si="25"/>
        <v>1</v>
      </c>
      <c r="V917" s="1587" t="s">
        <v>1070</v>
      </c>
      <c r="W917" s="1591">
        <f t="shared" si="26"/>
        <v>0</v>
      </c>
      <c r="X917" s="1591">
        <f t="shared" si="28"/>
        <v>0</v>
      </c>
      <c r="Y917" s="1591">
        <f t="shared" si="29"/>
        <v>0</v>
      </c>
      <c r="Z917" s="1591">
        <f t="shared" si="30"/>
        <v>0</v>
      </c>
      <c r="AA917" s="1591">
        <f t="shared" si="31"/>
        <v>0</v>
      </c>
      <c r="AB917" s="1591" t="b">
        <f t="shared" si="32"/>
        <v>1</v>
      </c>
      <c r="AD917" s="1728"/>
      <c r="AE917" s="1728"/>
      <c r="AF917" s="743"/>
      <c r="AG917" s="743"/>
      <c r="AH917" s="743"/>
      <c r="AI917" s="743"/>
    </row>
    <row r="918" spans="1:35" x14ac:dyDescent="0.25">
      <c r="A918" s="751" t="s">
        <v>529</v>
      </c>
      <c r="B918" s="751"/>
      <c r="C918" s="745" t="s">
        <v>1071</v>
      </c>
      <c r="D918" s="311">
        <f t="shared" si="27"/>
        <v>59160</v>
      </c>
      <c r="E918" s="311">
        <v>24900</v>
      </c>
      <c r="F918" s="311">
        <v>22260</v>
      </c>
      <c r="G918" s="311">
        <v>12000</v>
      </c>
      <c r="H918" s="311"/>
      <c r="I918" s="311"/>
      <c r="J918" s="311"/>
      <c r="K918" s="311"/>
      <c r="L918" s="311"/>
      <c r="M918" s="750">
        <f t="shared" si="24"/>
        <v>118320</v>
      </c>
      <c r="Q918" s="302">
        <v>47160</v>
      </c>
      <c r="R918" s="302">
        <v>24900</v>
      </c>
      <c r="S918" s="1585">
        <v>22260</v>
      </c>
      <c r="T918" s="302" t="b">
        <f t="shared" si="25"/>
        <v>1</v>
      </c>
      <c r="V918" s="1587" t="s">
        <v>1071</v>
      </c>
      <c r="W918" s="1591">
        <f t="shared" si="26"/>
        <v>12000</v>
      </c>
      <c r="X918" s="1591">
        <f t="shared" si="28"/>
        <v>0</v>
      </c>
      <c r="Y918" s="1591">
        <f t="shared" si="29"/>
        <v>0</v>
      </c>
      <c r="Z918" s="1591">
        <f t="shared" si="30"/>
        <v>12000</v>
      </c>
      <c r="AA918" s="1591">
        <f t="shared" si="31"/>
        <v>0</v>
      </c>
      <c r="AB918" s="1591" t="b">
        <f t="shared" si="32"/>
        <v>1</v>
      </c>
      <c r="AD918" s="1728"/>
      <c r="AE918" s="1728"/>
      <c r="AF918" s="743"/>
      <c r="AG918" s="743"/>
      <c r="AH918" s="743"/>
      <c r="AI918" s="743"/>
    </row>
    <row r="919" spans="1:35" x14ac:dyDescent="0.25">
      <c r="A919" s="751" t="s">
        <v>530</v>
      </c>
      <c r="B919" s="751"/>
      <c r="C919" s="745" t="s">
        <v>1072</v>
      </c>
      <c r="D919" s="311">
        <f t="shared" si="27"/>
        <v>264130</v>
      </c>
      <c r="E919" s="311">
        <f>207000+1480</f>
        <v>208480</v>
      </c>
      <c r="F919" s="311">
        <v>55650</v>
      </c>
      <c r="G919" s="311"/>
      <c r="H919" s="311"/>
      <c r="I919" s="311"/>
      <c r="J919" s="311"/>
      <c r="K919" s="311"/>
      <c r="L919" s="311"/>
      <c r="M919" s="750">
        <f t="shared" si="24"/>
        <v>528260</v>
      </c>
      <c r="Q919" s="302">
        <v>262650</v>
      </c>
      <c r="R919" s="302">
        <v>207000</v>
      </c>
      <c r="S919" s="1585">
        <v>55650</v>
      </c>
      <c r="T919" s="302" t="b">
        <f t="shared" si="25"/>
        <v>1</v>
      </c>
      <c r="V919" s="1587" t="s">
        <v>1072</v>
      </c>
      <c r="W919" s="1591">
        <f t="shared" si="26"/>
        <v>1480</v>
      </c>
      <c r="X919" s="1591">
        <f t="shared" si="28"/>
        <v>1480</v>
      </c>
      <c r="Y919" s="1591">
        <f t="shared" si="29"/>
        <v>0</v>
      </c>
      <c r="Z919" s="1591">
        <f t="shared" si="30"/>
        <v>0</v>
      </c>
      <c r="AA919" s="1591">
        <f t="shared" si="31"/>
        <v>0</v>
      </c>
      <c r="AB919" s="1591" t="b">
        <f t="shared" si="32"/>
        <v>1</v>
      </c>
      <c r="AD919" s="1728"/>
      <c r="AE919" s="1728"/>
      <c r="AF919" s="743"/>
      <c r="AG919" s="743"/>
      <c r="AH919" s="743"/>
      <c r="AI919" s="743"/>
    </row>
    <row r="920" spans="1:35" hidden="1" x14ac:dyDescent="0.25">
      <c r="A920" s="751" t="s">
        <v>531</v>
      </c>
      <c r="B920" s="751"/>
      <c r="C920" s="745" t="s">
        <v>1073</v>
      </c>
      <c r="D920" s="311">
        <f t="shared" si="27"/>
        <v>0</v>
      </c>
      <c r="E920" s="311">
        <f>5800-5800</f>
        <v>0</v>
      </c>
      <c r="F920" s="311"/>
      <c r="G920" s="311"/>
      <c r="H920" s="311"/>
      <c r="I920" s="311"/>
      <c r="J920" s="311"/>
      <c r="K920" s="311"/>
      <c r="L920" s="311"/>
      <c r="M920" s="750">
        <f t="shared" si="24"/>
        <v>0</v>
      </c>
      <c r="Q920" s="302">
        <v>5800</v>
      </c>
      <c r="R920" s="302">
        <v>5800</v>
      </c>
      <c r="S920" s="1585"/>
      <c r="T920" s="302" t="b">
        <f t="shared" si="25"/>
        <v>1</v>
      </c>
      <c r="V920" s="1587" t="s">
        <v>1073</v>
      </c>
      <c r="W920" s="1591">
        <f t="shared" si="26"/>
        <v>-5800</v>
      </c>
      <c r="X920" s="1591">
        <f t="shared" si="28"/>
        <v>-5800</v>
      </c>
      <c r="Y920" s="1591">
        <f t="shared" si="29"/>
        <v>0</v>
      </c>
      <c r="Z920" s="1591">
        <f t="shared" si="30"/>
        <v>0</v>
      </c>
      <c r="AA920" s="1591">
        <f t="shared" si="31"/>
        <v>0</v>
      </c>
      <c r="AB920" s="1591" t="b">
        <f t="shared" si="32"/>
        <v>1</v>
      </c>
      <c r="AD920" s="1728"/>
      <c r="AE920" s="1728"/>
      <c r="AF920" s="743"/>
      <c r="AG920" s="743"/>
      <c r="AH920" s="743"/>
      <c r="AI920" s="743"/>
    </row>
    <row r="921" spans="1:35" x14ac:dyDescent="0.25">
      <c r="A921" s="751" t="s">
        <v>532</v>
      </c>
      <c r="B921" s="751"/>
      <c r="C921" s="745" t="s">
        <v>1074</v>
      </c>
      <c r="D921" s="311">
        <f t="shared" si="27"/>
        <v>11500</v>
      </c>
      <c r="E921" s="311">
        <v>11500</v>
      </c>
      <c r="F921" s="311"/>
      <c r="G921" s="311"/>
      <c r="H921" s="311"/>
      <c r="I921" s="311"/>
      <c r="J921" s="311"/>
      <c r="K921" s="311"/>
      <c r="L921" s="311"/>
      <c r="M921" s="750">
        <f t="shared" si="24"/>
        <v>23000</v>
      </c>
      <c r="Q921" s="302">
        <v>11500</v>
      </c>
      <c r="R921" s="302">
        <v>11500</v>
      </c>
      <c r="S921" s="1585"/>
      <c r="T921" s="302" t="b">
        <f t="shared" si="25"/>
        <v>1</v>
      </c>
      <c r="V921" s="1587" t="s">
        <v>1074</v>
      </c>
      <c r="W921" s="1591">
        <f t="shared" ref="W921:W979" si="33">X921+Y921+Z921</f>
        <v>0</v>
      </c>
      <c r="X921" s="1591">
        <f t="shared" si="28"/>
        <v>0</v>
      </c>
      <c r="Y921" s="1591">
        <f t="shared" si="29"/>
        <v>0</v>
      </c>
      <c r="Z921" s="1591">
        <f t="shared" si="30"/>
        <v>0</v>
      </c>
      <c r="AA921" s="1591">
        <f t="shared" si="31"/>
        <v>0</v>
      </c>
      <c r="AB921" s="1591" t="b">
        <f t="shared" si="32"/>
        <v>1</v>
      </c>
      <c r="AD921" s="1728"/>
      <c r="AE921" s="1728"/>
      <c r="AF921" s="743"/>
      <c r="AG921" s="743"/>
      <c r="AH921" s="743"/>
      <c r="AI921" s="743"/>
    </row>
    <row r="922" spans="1:35" x14ac:dyDescent="0.25">
      <c r="A922" s="751" t="s">
        <v>533</v>
      </c>
      <c r="B922" s="751"/>
      <c r="C922" s="745" t="s">
        <v>1075</v>
      </c>
      <c r="D922" s="311">
        <f t="shared" si="27"/>
        <v>5200</v>
      </c>
      <c r="E922" s="311">
        <v>5200</v>
      </c>
      <c r="F922" s="311"/>
      <c r="G922" s="311"/>
      <c r="H922" s="311"/>
      <c r="I922" s="311"/>
      <c r="J922" s="311"/>
      <c r="K922" s="311"/>
      <c r="L922" s="311"/>
      <c r="M922" s="750">
        <f t="shared" si="24"/>
        <v>10400</v>
      </c>
      <c r="Q922" s="302">
        <v>5200</v>
      </c>
      <c r="R922" s="302">
        <v>5200</v>
      </c>
      <c r="S922" s="1585"/>
      <c r="T922" s="302" t="b">
        <f t="shared" si="25"/>
        <v>1</v>
      </c>
      <c r="V922" s="1587" t="s">
        <v>1075</v>
      </c>
      <c r="W922" s="1591">
        <f t="shared" si="33"/>
        <v>0</v>
      </c>
      <c r="X922" s="1591">
        <f t="shared" si="28"/>
        <v>0</v>
      </c>
      <c r="Y922" s="1591">
        <f t="shared" si="29"/>
        <v>0</v>
      </c>
      <c r="Z922" s="1591">
        <f t="shared" si="30"/>
        <v>0</v>
      </c>
      <c r="AA922" s="1591">
        <f t="shared" si="31"/>
        <v>0</v>
      </c>
      <c r="AB922" s="1591" t="b">
        <f t="shared" si="32"/>
        <v>1</v>
      </c>
      <c r="AD922" s="1728"/>
      <c r="AE922" s="1728"/>
      <c r="AF922" s="743"/>
      <c r="AG922" s="743"/>
      <c r="AH922" s="743"/>
      <c r="AI922" s="743"/>
    </row>
    <row r="923" spans="1:35" x14ac:dyDescent="0.25">
      <c r="A923" s="751" t="s">
        <v>534</v>
      </c>
      <c r="B923" s="751"/>
      <c r="C923" s="745" t="s">
        <v>1076</v>
      </c>
      <c r="D923" s="311">
        <f t="shared" si="27"/>
        <v>2200</v>
      </c>
      <c r="E923" s="311">
        <v>2200</v>
      </c>
      <c r="F923" s="311"/>
      <c r="G923" s="311"/>
      <c r="H923" s="311"/>
      <c r="I923" s="311"/>
      <c r="J923" s="311"/>
      <c r="K923" s="311"/>
      <c r="L923" s="311"/>
      <c r="M923" s="750">
        <f t="shared" si="24"/>
        <v>4400</v>
      </c>
      <c r="Q923" s="302">
        <v>2200</v>
      </c>
      <c r="R923" s="302">
        <v>2200</v>
      </c>
      <c r="S923" s="1585"/>
      <c r="T923" s="302" t="b">
        <f t="shared" si="25"/>
        <v>1</v>
      </c>
      <c r="V923" s="1587" t="s">
        <v>1076</v>
      </c>
      <c r="W923" s="1591">
        <f t="shared" si="33"/>
        <v>0</v>
      </c>
      <c r="X923" s="1591">
        <f t="shared" si="28"/>
        <v>0</v>
      </c>
      <c r="Y923" s="1591">
        <f t="shared" si="29"/>
        <v>0</v>
      </c>
      <c r="Z923" s="1591">
        <f t="shared" si="30"/>
        <v>0</v>
      </c>
      <c r="AA923" s="1591">
        <f t="shared" si="31"/>
        <v>0</v>
      </c>
      <c r="AB923" s="1591" t="b">
        <f t="shared" si="32"/>
        <v>1</v>
      </c>
      <c r="AD923" s="1728"/>
      <c r="AE923" s="1728"/>
      <c r="AF923" s="743"/>
      <c r="AG923" s="743"/>
      <c r="AH923" s="743"/>
      <c r="AI923" s="743"/>
    </row>
    <row r="924" spans="1:35" x14ac:dyDescent="0.25">
      <c r="A924" s="751" t="s">
        <v>535</v>
      </c>
      <c r="B924" s="751"/>
      <c r="C924" s="745" t="s">
        <v>1077</v>
      </c>
      <c r="D924" s="311">
        <f t="shared" si="27"/>
        <v>13000</v>
      </c>
      <c r="E924" s="311">
        <v>13000</v>
      </c>
      <c r="F924" s="311"/>
      <c r="G924" s="311"/>
      <c r="H924" s="311"/>
      <c r="I924" s="311"/>
      <c r="J924" s="311"/>
      <c r="K924" s="311"/>
      <c r="L924" s="311"/>
      <c r="M924" s="750">
        <f t="shared" si="24"/>
        <v>26000</v>
      </c>
      <c r="Q924" s="302">
        <v>13000</v>
      </c>
      <c r="R924" s="302">
        <v>13000</v>
      </c>
      <c r="S924" s="1585"/>
      <c r="T924" s="302" t="b">
        <f t="shared" si="25"/>
        <v>1</v>
      </c>
      <c r="V924" s="1587" t="s">
        <v>1077</v>
      </c>
      <c r="W924" s="1591">
        <f t="shared" si="33"/>
        <v>0</v>
      </c>
      <c r="X924" s="1591">
        <f t="shared" si="28"/>
        <v>0</v>
      </c>
      <c r="Y924" s="1591">
        <f t="shared" si="29"/>
        <v>0</v>
      </c>
      <c r="Z924" s="1591">
        <f t="shared" si="30"/>
        <v>0</v>
      </c>
      <c r="AA924" s="1591">
        <f t="shared" si="31"/>
        <v>0</v>
      </c>
      <c r="AB924" s="1591" t="b">
        <f t="shared" si="32"/>
        <v>1</v>
      </c>
      <c r="AD924" s="1728"/>
      <c r="AE924" s="1728"/>
      <c r="AF924" s="743"/>
      <c r="AG924" s="743"/>
      <c r="AH924" s="743"/>
      <c r="AI924" s="743"/>
    </row>
    <row r="925" spans="1:35" x14ac:dyDescent="0.25">
      <c r="A925" s="751" t="s">
        <v>536</v>
      </c>
      <c r="B925" s="751"/>
      <c r="C925" s="745" t="s">
        <v>1078</v>
      </c>
      <c r="D925" s="311">
        <f t="shared" si="27"/>
        <v>14600</v>
      </c>
      <c r="E925" s="311">
        <v>14600</v>
      </c>
      <c r="F925" s="311"/>
      <c r="G925" s="311"/>
      <c r="H925" s="311"/>
      <c r="I925" s="311"/>
      <c r="J925" s="311"/>
      <c r="K925" s="311"/>
      <c r="L925" s="311"/>
      <c r="M925" s="750">
        <f t="shared" si="24"/>
        <v>29200</v>
      </c>
      <c r="Q925" s="302">
        <v>14600</v>
      </c>
      <c r="R925" s="302">
        <v>14600</v>
      </c>
      <c r="S925" s="1585"/>
      <c r="T925" s="302" t="b">
        <f t="shared" si="25"/>
        <v>1</v>
      </c>
      <c r="V925" s="1587" t="s">
        <v>1078</v>
      </c>
      <c r="W925" s="1591">
        <f t="shared" si="33"/>
        <v>0</v>
      </c>
      <c r="X925" s="1591">
        <f t="shared" si="28"/>
        <v>0</v>
      </c>
      <c r="Y925" s="1591">
        <f t="shared" si="29"/>
        <v>0</v>
      </c>
      <c r="Z925" s="1591">
        <f t="shared" si="30"/>
        <v>0</v>
      </c>
      <c r="AA925" s="1591">
        <f t="shared" si="31"/>
        <v>0</v>
      </c>
      <c r="AB925" s="1591" t="b">
        <f t="shared" si="32"/>
        <v>1</v>
      </c>
      <c r="AD925" s="1728"/>
      <c r="AE925" s="1728"/>
      <c r="AF925" s="743"/>
      <c r="AG925" s="743"/>
      <c r="AH925" s="743"/>
      <c r="AI925" s="743"/>
    </row>
    <row r="926" spans="1:35" x14ac:dyDescent="0.25">
      <c r="A926" s="751" t="s">
        <v>537</v>
      </c>
      <c r="B926" s="751"/>
      <c r="C926" s="745" t="s">
        <v>1079</v>
      </c>
      <c r="D926" s="311">
        <f t="shared" si="27"/>
        <v>18600</v>
      </c>
      <c r="E926" s="311">
        <v>18600</v>
      </c>
      <c r="F926" s="311"/>
      <c r="G926" s="311"/>
      <c r="H926" s="311"/>
      <c r="I926" s="311"/>
      <c r="J926" s="311"/>
      <c r="K926" s="311"/>
      <c r="L926" s="311"/>
      <c r="M926" s="750">
        <f t="shared" si="24"/>
        <v>37200</v>
      </c>
      <c r="Q926" s="302">
        <v>18600</v>
      </c>
      <c r="R926" s="302">
        <v>18600</v>
      </c>
      <c r="S926" s="1585"/>
      <c r="T926" s="302" t="b">
        <f t="shared" si="25"/>
        <v>1</v>
      </c>
      <c r="V926" s="1587" t="s">
        <v>1079</v>
      </c>
      <c r="W926" s="1591">
        <f t="shared" si="33"/>
        <v>0</v>
      </c>
      <c r="X926" s="1591">
        <f t="shared" si="28"/>
        <v>0</v>
      </c>
      <c r="Y926" s="1591">
        <f t="shared" si="29"/>
        <v>0</v>
      </c>
      <c r="Z926" s="1591">
        <f t="shared" si="30"/>
        <v>0</v>
      </c>
      <c r="AA926" s="1591">
        <f t="shared" si="31"/>
        <v>0</v>
      </c>
      <c r="AB926" s="1591" t="b">
        <f t="shared" si="32"/>
        <v>1</v>
      </c>
      <c r="AD926" s="1728"/>
      <c r="AE926" s="1728"/>
      <c r="AF926" s="743"/>
      <c r="AG926" s="743"/>
      <c r="AH926" s="743"/>
      <c r="AI926" s="743"/>
    </row>
    <row r="927" spans="1:35" x14ac:dyDescent="0.25">
      <c r="A927" s="751" t="s">
        <v>538</v>
      </c>
      <c r="B927" s="751"/>
      <c r="C927" s="745" t="s">
        <v>1080</v>
      </c>
      <c r="D927" s="311">
        <f t="shared" si="27"/>
        <v>1184700</v>
      </c>
      <c r="E927" s="311">
        <v>850800</v>
      </c>
      <c r="F927" s="311">
        <v>333900</v>
      </c>
      <c r="G927" s="311"/>
      <c r="H927" s="311"/>
      <c r="I927" s="311"/>
      <c r="J927" s="311"/>
      <c r="K927" s="311"/>
      <c r="L927" s="311"/>
      <c r="M927" s="750">
        <f t="shared" si="24"/>
        <v>2369400</v>
      </c>
      <c r="Q927" s="302">
        <v>1184700</v>
      </c>
      <c r="R927" s="302">
        <v>850800</v>
      </c>
      <c r="S927" s="1585">
        <v>333900</v>
      </c>
      <c r="T927" s="302" t="b">
        <f t="shared" si="25"/>
        <v>1</v>
      </c>
      <c r="V927" s="1587" t="s">
        <v>1080</v>
      </c>
      <c r="W927" s="1591">
        <f t="shared" si="33"/>
        <v>0</v>
      </c>
      <c r="X927" s="1591">
        <f t="shared" si="28"/>
        <v>0</v>
      </c>
      <c r="Y927" s="1591">
        <f t="shared" si="29"/>
        <v>0</v>
      </c>
      <c r="Z927" s="1591">
        <f t="shared" si="30"/>
        <v>0</v>
      </c>
      <c r="AA927" s="1591">
        <f t="shared" si="31"/>
        <v>0</v>
      </c>
      <c r="AB927" s="1591" t="b">
        <f t="shared" si="32"/>
        <v>1</v>
      </c>
      <c r="AD927" s="1728"/>
      <c r="AE927" s="1728"/>
      <c r="AF927" s="743"/>
      <c r="AG927" s="743"/>
      <c r="AH927" s="743"/>
      <c r="AI927" s="743"/>
    </row>
    <row r="928" spans="1:35" x14ac:dyDescent="0.25">
      <c r="A928" s="751" t="s">
        <v>539</v>
      </c>
      <c r="B928" s="751"/>
      <c r="C928" s="745" t="s">
        <v>1081</v>
      </c>
      <c r="D928" s="311">
        <f t="shared" si="27"/>
        <v>144560</v>
      </c>
      <c r="E928" s="311">
        <v>122300</v>
      </c>
      <c r="F928" s="311">
        <v>22260</v>
      </c>
      <c r="G928" s="311"/>
      <c r="H928" s="311"/>
      <c r="I928" s="311"/>
      <c r="J928" s="311"/>
      <c r="K928" s="311"/>
      <c r="L928" s="311"/>
      <c r="M928" s="750">
        <f t="shared" si="24"/>
        <v>289120</v>
      </c>
      <c r="Q928" s="302">
        <v>144560</v>
      </c>
      <c r="R928" s="302">
        <v>122300</v>
      </c>
      <c r="S928" s="1585">
        <v>22260</v>
      </c>
      <c r="T928" s="302" t="b">
        <f t="shared" si="25"/>
        <v>1</v>
      </c>
      <c r="V928" s="1587" t="s">
        <v>1081</v>
      </c>
      <c r="W928" s="1591">
        <f t="shared" si="33"/>
        <v>0</v>
      </c>
      <c r="X928" s="1591">
        <f t="shared" si="28"/>
        <v>0</v>
      </c>
      <c r="Y928" s="1591">
        <f t="shared" si="29"/>
        <v>0</v>
      </c>
      <c r="Z928" s="1591">
        <f t="shared" si="30"/>
        <v>0</v>
      </c>
      <c r="AA928" s="1591">
        <f t="shared" si="31"/>
        <v>0</v>
      </c>
      <c r="AB928" s="1591" t="b">
        <f t="shared" si="32"/>
        <v>1</v>
      </c>
      <c r="AD928" s="1728"/>
      <c r="AE928" s="1728"/>
      <c r="AF928" s="743"/>
      <c r="AG928" s="743"/>
      <c r="AH928" s="743"/>
      <c r="AI928" s="743"/>
    </row>
    <row r="929" spans="1:35" x14ac:dyDescent="0.25">
      <c r="A929" s="751" t="s">
        <v>540</v>
      </c>
      <c r="B929" s="751"/>
      <c r="C929" s="745" t="s">
        <v>1082</v>
      </c>
      <c r="D929" s="311">
        <f t="shared" si="27"/>
        <v>103390</v>
      </c>
      <c r="E929" s="311">
        <v>70000</v>
      </c>
      <c r="F929" s="311">
        <v>33390</v>
      </c>
      <c r="G929" s="311"/>
      <c r="H929" s="311"/>
      <c r="I929" s="311"/>
      <c r="J929" s="311"/>
      <c r="K929" s="311"/>
      <c r="L929" s="311"/>
      <c r="M929" s="750">
        <f t="shared" si="24"/>
        <v>206780</v>
      </c>
      <c r="Q929" s="302">
        <v>103390</v>
      </c>
      <c r="R929" s="302">
        <v>70000</v>
      </c>
      <c r="S929" s="1585">
        <v>33390</v>
      </c>
      <c r="T929" s="302" t="b">
        <f t="shared" si="25"/>
        <v>1</v>
      </c>
      <c r="V929" s="1587" t="s">
        <v>1082</v>
      </c>
      <c r="W929" s="1591">
        <f t="shared" si="33"/>
        <v>0</v>
      </c>
      <c r="X929" s="1591">
        <f t="shared" si="28"/>
        <v>0</v>
      </c>
      <c r="Y929" s="1591">
        <f t="shared" si="29"/>
        <v>0</v>
      </c>
      <c r="Z929" s="1591">
        <f t="shared" si="30"/>
        <v>0</v>
      </c>
      <c r="AA929" s="1591">
        <f t="shared" si="31"/>
        <v>0</v>
      </c>
      <c r="AB929" s="1591" t="b">
        <f t="shared" si="32"/>
        <v>1</v>
      </c>
      <c r="AD929" s="1728"/>
      <c r="AE929" s="1728"/>
      <c r="AF929" s="743"/>
      <c r="AG929" s="743"/>
      <c r="AH929" s="743"/>
      <c r="AI929" s="743"/>
    </row>
    <row r="930" spans="1:35" x14ac:dyDescent="0.25">
      <c r="A930" s="751" t="s">
        <v>541</v>
      </c>
      <c r="B930" s="751"/>
      <c r="C930" s="745" t="s">
        <v>1083</v>
      </c>
      <c r="D930" s="311">
        <f t="shared" si="27"/>
        <v>4700</v>
      </c>
      <c r="E930" s="311">
        <v>4700</v>
      </c>
      <c r="F930" s="311"/>
      <c r="G930" s="311"/>
      <c r="H930" s="311"/>
      <c r="I930" s="311"/>
      <c r="J930" s="311"/>
      <c r="K930" s="311"/>
      <c r="L930" s="311"/>
      <c r="M930" s="750">
        <f t="shared" si="24"/>
        <v>9400</v>
      </c>
      <c r="Q930" s="302">
        <v>4700</v>
      </c>
      <c r="R930" s="302">
        <v>4700</v>
      </c>
      <c r="S930" s="1585"/>
      <c r="T930" s="302" t="b">
        <f t="shared" si="25"/>
        <v>1</v>
      </c>
      <c r="V930" s="1587" t="s">
        <v>1083</v>
      </c>
      <c r="W930" s="1591">
        <f t="shared" si="33"/>
        <v>0</v>
      </c>
      <c r="X930" s="1591">
        <f t="shared" si="28"/>
        <v>0</v>
      </c>
      <c r="Y930" s="1591">
        <f t="shared" si="29"/>
        <v>0</v>
      </c>
      <c r="Z930" s="1591">
        <f t="shared" si="30"/>
        <v>0</v>
      </c>
      <c r="AA930" s="1591">
        <f t="shared" si="31"/>
        <v>0</v>
      </c>
      <c r="AB930" s="1591" t="b">
        <f t="shared" si="32"/>
        <v>1</v>
      </c>
      <c r="AD930" s="1728"/>
      <c r="AE930" s="1728"/>
      <c r="AF930" s="743"/>
      <c r="AG930" s="743"/>
      <c r="AH930" s="743"/>
      <c r="AI930" s="743"/>
    </row>
    <row r="931" spans="1:35" x14ac:dyDescent="0.25">
      <c r="A931" s="751" t="s">
        <v>542</v>
      </c>
      <c r="B931" s="751"/>
      <c r="C931" s="745" t="s">
        <v>1084</v>
      </c>
      <c r="D931" s="311">
        <f t="shared" si="27"/>
        <v>661160</v>
      </c>
      <c r="E931" s="311">
        <v>527600</v>
      </c>
      <c r="F931" s="311">
        <v>133560</v>
      </c>
      <c r="G931" s="311"/>
      <c r="H931" s="311"/>
      <c r="I931" s="311"/>
      <c r="J931" s="311"/>
      <c r="K931" s="311"/>
      <c r="L931" s="311"/>
      <c r="M931" s="750">
        <f t="shared" si="24"/>
        <v>1322320</v>
      </c>
      <c r="Q931" s="302">
        <v>661160</v>
      </c>
      <c r="R931" s="302">
        <v>527600</v>
      </c>
      <c r="S931" s="1585">
        <v>133560</v>
      </c>
      <c r="T931" s="302" t="b">
        <f t="shared" si="25"/>
        <v>1</v>
      </c>
      <c r="V931" s="1587" t="s">
        <v>1084</v>
      </c>
      <c r="W931" s="1591">
        <f t="shared" si="33"/>
        <v>0</v>
      </c>
      <c r="X931" s="1591">
        <f t="shared" si="28"/>
        <v>0</v>
      </c>
      <c r="Y931" s="1591">
        <f t="shared" si="29"/>
        <v>0</v>
      </c>
      <c r="Z931" s="1591">
        <f t="shared" si="30"/>
        <v>0</v>
      </c>
      <c r="AA931" s="1591">
        <f t="shared" si="31"/>
        <v>0</v>
      </c>
      <c r="AB931" s="1591" t="b">
        <f t="shared" si="32"/>
        <v>1</v>
      </c>
      <c r="AD931" s="1728"/>
      <c r="AE931" s="1728"/>
      <c r="AF931" s="743"/>
      <c r="AG931" s="743"/>
      <c r="AH931" s="743"/>
      <c r="AI931" s="743"/>
    </row>
    <row r="932" spans="1:35" x14ac:dyDescent="0.25">
      <c r="A932" s="751" t="s">
        <v>543</v>
      </c>
      <c r="B932" s="751"/>
      <c r="C932" s="745" t="s">
        <v>1085</v>
      </c>
      <c r="D932" s="311">
        <f t="shared" si="27"/>
        <v>2000</v>
      </c>
      <c r="E932" s="311">
        <v>2000</v>
      </c>
      <c r="F932" s="311"/>
      <c r="G932" s="311"/>
      <c r="H932" s="311"/>
      <c r="I932" s="311"/>
      <c r="J932" s="311"/>
      <c r="K932" s="311"/>
      <c r="L932" s="311"/>
      <c r="M932" s="750">
        <f t="shared" si="24"/>
        <v>4000</v>
      </c>
      <c r="Q932" s="302">
        <v>2000</v>
      </c>
      <c r="R932" s="302">
        <v>2000</v>
      </c>
      <c r="S932" s="1585"/>
      <c r="T932" s="302" t="b">
        <f t="shared" si="25"/>
        <v>1</v>
      </c>
      <c r="V932" s="1587" t="s">
        <v>1085</v>
      </c>
      <c r="W932" s="1591">
        <f t="shared" si="33"/>
        <v>0</v>
      </c>
      <c r="X932" s="1591">
        <f t="shared" si="28"/>
        <v>0</v>
      </c>
      <c r="Y932" s="1591">
        <f t="shared" si="29"/>
        <v>0</v>
      </c>
      <c r="Z932" s="1591">
        <f t="shared" si="30"/>
        <v>0</v>
      </c>
      <c r="AA932" s="1591">
        <f t="shared" si="31"/>
        <v>0</v>
      </c>
      <c r="AB932" s="1591" t="b">
        <f t="shared" si="32"/>
        <v>1</v>
      </c>
      <c r="AD932" s="1728"/>
      <c r="AE932" s="1728"/>
      <c r="AF932" s="743"/>
      <c r="AG932" s="743"/>
      <c r="AH932" s="743"/>
      <c r="AI932" s="743"/>
    </row>
    <row r="933" spans="1:35" x14ac:dyDescent="0.25">
      <c r="A933" s="751" t="s">
        <v>544</v>
      </c>
      <c r="B933" s="751"/>
      <c r="C933" s="745" t="s">
        <v>1086</v>
      </c>
      <c r="D933" s="311">
        <f t="shared" si="27"/>
        <v>11800</v>
      </c>
      <c r="E933" s="311">
        <v>11800</v>
      </c>
      <c r="F933" s="311"/>
      <c r="G933" s="311"/>
      <c r="H933" s="311"/>
      <c r="I933" s="311"/>
      <c r="J933" s="311"/>
      <c r="K933" s="311"/>
      <c r="L933" s="311"/>
      <c r="M933" s="750">
        <f t="shared" si="24"/>
        <v>23600</v>
      </c>
      <c r="Q933" s="302">
        <v>11800</v>
      </c>
      <c r="R933" s="302">
        <v>11800</v>
      </c>
      <c r="S933" s="1585"/>
      <c r="T933" s="302" t="b">
        <f t="shared" si="25"/>
        <v>1</v>
      </c>
      <c r="V933" s="1587" t="s">
        <v>1086</v>
      </c>
      <c r="W933" s="1591">
        <f t="shared" si="33"/>
        <v>0</v>
      </c>
      <c r="X933" s="1591">
        <f t="shared" si="28"/>
        <v>0</v>
      </c>
      <c r="Y933" s="1591">
        <f t="shared" si="29"/>
        <v>0</v>
      </c>
      <c r="Z933" s="1591">
        <f t="shared" si="30"/>
        <v>0</v>
      </c>
      <c r="AA933" s="1591">
        <f t="shared" si="31"/>
        <v>0</v>
      </c>
      <c r="AB933" s="1591" t="b">
        <f t="shared" si="32"/>
        <v>1</v>
      </c>
      <c r="AD933" s="1728"/>
      <c r="AE933" s="1728"/>
      <c r="AF933" s="743"/>
      <c r="AG933" s="743"/>
      <c r="AH933" s="743"/>
      <c r="AI933" s="743"/>
    </row>
    <row r="934" spans="1:35" x14ac:dyDescent="0.25">
      <c r="A934" s="751" t="s">
        <v>545</v>
      </c>
      <c r="B934" s="751"/>
      <c r="C934" s="745" t="s">
        <v>1087</v>
      </c>
      <c r="D934" s="311">
        <f t="shared" si="27"/>
        <v>10200</v>
      </c>
      <c r="E934" s="311">
        <v>10200</v>
      </c>
      <c r="F934" s="311"/>
      <c r="G934" s="311"/>
      <c r="H934" s="311"/>
      <c r="I934" s="311"/>
      <c r="J934" s="311"/>
      <c r="K934" s="311"/>
      <c r="L934" s="311"/>
      <c r="M934" s="750">
        <f t="shared" si="24"/>
        <v>20400</v>
      </c>
      <c r="Q934" s="302">
        <v>10200</v>
      </c>
      <c r="R934" s="302">
        <v>10200</v>
      </c>
      <c r="S934" s="1585"/>
      <c r="T934" s="302" t="b">
        <f t="shared" si="25"/>
        <v>1</v>
      </c>
      <c r="V934" s="1587" t="s">
        <v>1087</v>
      </c>
      <c r="W934" s="1591">
        <f t="shared" si="33"/>
        <v>0</v>
      </c>
      <c r="X934" s="1591">
        <f t="shared" si="28"/>
        <v>0</v>
      </c>
      <c r="Y934" s="1591">
        <f t="shared" si="29"/>
        <v>0</v>
      </c>
      <c r="Z934" s="1591">
        <f t="shared" si="30"/>
        <v>0</v>
      </c>
      <c r="AA934" s="1591">
        <f t="shared" si="31"/>
        <v>0</v>
      </c>
      <c r="AB934" s="1591" t="b">
        <f t="shared" si="32"/>
        <v>1</v>
      </c>
      <c r="AD934" s="1728"/>
      <c r="AE934" s="1728"/>
      <c r="AF934" s="743"/>
      <c r="AG934" s="743"/>
      <c r="AH934" s="743"/>
      <c r="AI934" s="743"/>
    </row>
    <row r="935" spans="1:35" x14ac:dyDescent="0.25">
      <c r="A935" s="751" t="s">
        <v>546</v>
      </c>
      <c r="B935" s="751"/>
      <c r="C935" s="745" t="s">
        <v>1088</v>
      </c>
      <c r="D935" s="311">
        <f t="shared" si="27"/>
        <v>30330</v>
      </c>
      <c r="E935" s="311">
        <v>19200</v>
      </c>
      <c r="F935" s="311">
        <v>11130</v>
      </c>
      <c r="G935" s="311"/>
      <c r="H935" s="311"/>
      <c r="I935" s="311"/>
      <c r="J935" s="311"/>
      <c r="K935" s="311"/>
      <c r="L935" s="311"/>
      <c r="M935" s="750">
        <f t="shared" si="24"/>
        <v>60660</v>
      </c>
      <c r="Q935" s="302">
        <v>30330</v>
      </c>
      <c r="R935" s="302">
        <v>19200</v>
      </c>
      <c r="S935" s="1585">
        <v>11130</v>
      </c>
      <c r="T935" s="302" t="b">
        <f t="shared" si="25"/>
        <v>1</v>
      </c>
      <c r="V935" s="1587" t="s">
        <v>1088</v>
      </c>
      <c r="W935" s="1591">
        <f t="shared" si="33"/>
        <v>0</v>
      </c>
      <c r="X935" s="1591">
        <f t="shared" si="28"/>
        <v>0</v>
      </c>
      <c r="Y935" s="1591">
        <f t="shared" si="29"/>
        <v>0</v>
      </c>
      <c r="Z935" s="1591">
        <f t="shared" si="30"/>
        <v>0</v>
      </c>
      <c r="AA935" s="1591">
        <f t="shared" si="31"/>
        <v>0</v>
      </c>
      <c r="AB935" s="1591" t="b">
        <f t="shared" si="32"/>
        <v>1</v>
      </c>
      <c r="AD935" s="1728"/>
      <c r="AE935" s="1728"/>
      <c r="AF935" s="743"/>
      <c r="AG935" s="743"/>
      <c r="AH935" s="743"/>
      <c r="AI935" s="743"/>
    </row>
    <row r="936" spans="1:35" x14ac:dyDescent="0.25">
      <c r="A936" s="751" t="s">
        <v>547</v>
      </c>
      <c r="B936" s="751"/>
      <c r="C936" s="745" t="s">
        <v>1089</v>
      </c>
      <c r="D936" s="311">
        <f t="shared" si="27"/>
        <v>2000</v>
      </c>
      <c r="E936" s="311">
        <v>2000</v>
      </c>
      <c r="F936" s="311"/>
      <c r="G936" s="311"/>
      <c r="H936" s="311"/>
      <c r="I936" s="311"/>
      <c r="J936" s="311"/>
      <c r="K936" s="311"/>
      <c r="L936" s="311"/>
      <c r="M936" s="750">
        <f t="shared" si="24"/>
        <v>4000</v>
      </c>
      <c r="Q936" s="302">
        <v>2000</v>
      </c>
      <c r="R936" s="302">
        <v>2000</v>
      </c>
      <c r="S936" s="1585"/>
      <c r="T936" s="302" t="b">
        <f t="shared" si="25"/>
        <v>1</v>
      </c>
      <c r="V936" s="1587" t="s">
        <v>1089</v>
      </c>
      <c r="W936" s="1591">
        <f t="shared" si="33"/>
        <v>0</v>
      </c>
      <c r="X936" s="1591">
        <f t="shared" si="28"/>
        <v>0</v>
      </c>
      <c r="Y936" s="1591">
        <f t="shared" si="29"/>
        <v>0</v>
      </c>
      <c r="Z936" s="1591">
        <f t="shared" si="30"/>
        <v>0</v>
      </c>
      <c r="AA936" s="1591">
        <f t="shared" si="31"/>
        <v>0</v>
      </c>
      <c r="AB936" s="1591" t="b">
        <f t="shared" si="32"/>
        <v>1</v>
      </c>
      <c r="AD936" s="1728"/>
      <c r="AE936" s="1728"/>
      <c r="AF936" s="743"/>
      <c r="AG936" s="743"/>
      <c r="AH936" s="743"/>
      <c r="AI936" s="743"/>
    </row>
    <row r="937" spans="1:35" x14ac:dyDescent="0.25">
      <c r="A937" s="751" t="s">
        <v>548</v>
      </c>
      <c r="B937" s="751"/>
      <c r="C937" s="745" t="s">
        <v>1090</v>
      </c>
      <c r="D937" s="311">
        <f t="shared" si="27"/>
        <v>142390</v>
      </c>
      <c r="E937" s="311">
        <v>109000</v>
      </c>
      <c r="F937" s="311">
        <v>33390</v>
      </c>
      <c r="G937" s="311"/>
      <c r="H937" s="311"/>
      <c r="I937" s="311"/>
      <c r="J937" s="311"/>
      <c r="K937" s="311"/>
      <c r="L937" s="311"/>
      <c r="M937" s="750">
        <f t="shared" si="24"/>
        <v>284780</v>
      </c>
      <c r="Q937" s="302">
        <v>142390</v>
      </c>
      <c r="R937" s="302">
        <v>109000</v>
      </c>
      <c r="S937" s="1585">
        <v>33390</v>
      </c>
      <c r="T937" s="302" t="b">
        <f t="shared" si="25"/>
        <v>1</v>
      </c>
      <c r="V937" s="1587" t="s">
        <v>1090</v>
      </c>
      <c r="W937" s="1591">
        <f t="shared" si="33"/>
        <v>0</v>
      </c>
      <c r="X937" s="1591">
        <f t="shared" si="28"/>
        <v>0</v>
      </c>
      <c r="Y937" s="1591">
        <f t="shared" si="29"/>
        <v>0</v>
      </c>
      <c r="Z937" s="1591">
        <f t="shared" si="30"/>
        <v>0</v>
      </c>
      <c r="AA937" s="1591">
        <f t="shared" si="31"/>
        <v>0</v>
      </c>
      <c r="AB937" s="1591" t="b">
        <f t="shared" si="32"/>
        <v>1</v>
      </c>
      <c r="AD937" s="1728"/>
      <c r="AE937" s="1728"/>
      <c r="AF937" s="743"/>
      <c r="AG937" s="743"/>
      <c r="AH937" s="743"/>
      <c r="AI937" s="743"/>
    </row>
    <row r="938" spans="1:35" x14ac:dyDescent="0.25">
      <c r="A938" s="751" t="s">
        <v>549</v>
      </c>
      <c r="B938" s="751"/>
      <c r="C938" s="745" t="s">
        <v>1091</v>
      </c>
      <c r="D938" s="311">
        <f t="shared" si="27"/>
        <v>227920</v>
      </c>
      <c r="E938" s="311">
        <v>183400</v>
      </c>
      <c r="F938" s="311">
        <v>44520</v>
      </c>
      <c r="G938" s="311"/>
      <c r="H938" s="311"/>
      <c r="I938" s="311"/>
      <c r="J938" s="311"/>
      <c r="K938" s="311"/>
      <c r="L938" s="311"/>
      <c r="M938" s="750">
        <f t="shared" si="24"/>
        <v>455840</v>
      </c>
      <c r="Q938" s="302">
        <v>227920</v>
      </c>
      <c r="R938" s="302">
        <v>183400</v>
      </c>
      <c r="S938" s="1585">
        <v>44520</v>
      </c>
      <c r="T938" s="302" t="b">
        <f t="shared" si="25"/>
        <v>1</v>
      </c>
      <c r="V938" s="1587" t="s">
        <v>1091</v>
      </c>
      <c r="W938" s="1591">
        <f t="shared" si="33"/>
        <v>0</v>
      </c>
      <c r="X938" s="1591">
        <f t="shared" si="28"/>
        <v>0</v>
      </c>
      <c r="Y938" s="1591">
        <f t="shared" si="29"/>
        <v>0</v>
      </c>
      <c r="Z938" s="1591">
        <f t="shared" si="30"/>
        <v>0</v>
      </c>
      <c r="AA938" s="1591">
        <f t="shared" si="31"/>
        <v>0</v>
      </c>
      <c r="AB938" s="1591" t="b">
        <f t="shared" si="32"/>
        <v>1</v>
      </c>
      <c r="AD938" s="1728"/>
      <c r="AE938" s="1728"/>
      <c r="AF938" s="743"/>
      <c r="AG938" s="743"/>
      <c r="AH938" s="743"/>
      <c r="AI938" s="743"/>
    </row>
    <row r="939" spans="1:35" x14ac:dyDescent="0.25">
      <c r="A939" s="751" t="s">
        <v>550</v>
      </c>
      <c r="B939" s="751"/>
      <c r="C939" s="745" t="s">
        <v>1092</v>
      </c>
      <c r="D939" s="311">
        <f t="shared" si="27"/>
        <v>26900</v>
      </c>
      <c r="E939" s="311">
        <v>26900</v>
      </c>
      <c r="F939" s="311"/>
      <c r="G939" s="311"/>
      <c r="H939" s="311"/>
      <c r="I939" s="311"/>
      <c r="J939" s="311"/>
      <c r="K939" s="311"/>
      <c r="L939" s="311"/>
      <c r="M939" s="750">
        <f t="shared" si="24"/>
        <v>53800</v>
      </c>
      <c r="Q939" s="302">
        <v>26900</v>
      </c>
      <c r="R939" s="302">
        <v>26900</v>
      </c>
      <c r="S939" s="1585"/>
      <c r="T939" s="302" t="b">
        <f t="shared" si="25"/>
        <v>1</v>
      </c>
      <c r="V939" s="1587" t="s">
        <v>1092</v>
      </c>
      <c r="W939" s="1591">
        <f t="shared" si="33"/>
        <v>0</v>
      </c>
      <c r="X939" s="1591">
        <f t="shared" si="28"/>
        <v>0</v>
      </c>
      <c r="Y939" s="1591">
        <f t="shared" si="29"/>
        <v>0</v>
      </c>
      <c r="Z939" s="1591">
        <f t="shared" si="30"/>
        <v>0</v>
      </c>
      <c r="AA939" s="1591">
        <f t="shared" si="31"/>
        <v>0</v>
      </c>
      <c r="AB939" s="1591" t="b">
        <f t="shared" si="32"/>
        <v>1</v>
      </c>
      <c r="AD939" s="1728"/>
      <c r="AE939" s="1728"/>
      <c r="AF939" s="743"/>
      <c r="AG939" s="743"/>
      <c r="AH939" s="743"/>
      <c r="AI939" s="743"/>
    </row>
    <row r="940" spans="1:35" x14ac:dyDescent="0.25">
      <c r="A940" s="751" t="s">
        <v>551</v>
      </c>
      <c r="B940" s="751"/>
      <c r="C940" s="745" t="s">
        <v>1093</v>
      </c>
      <c r="D940" s="311">
        <f t="shared" si="27"/>
        <v>9900</v>
      </c>
      <c r="E940" s="311">
        <v>9900</v>
      </c>
      <c r="F940" s="311"/>
      <c r="G940" s="311"/>
      <c r="H940" s="311"/>
      <c r="I940" s="311"/>
      <c r="J940" s="311"/>
      <c r="K940" s="311"/>
      <c r="L940" s="311"/>
      <c r="M940" s="750">
        <f t="shared" si="24"/>
        <v>19800</v>
      </c>
      <c r="Q940" s="302">
        <v>9900</v>
      </c>
      <c r="R940" s="302">
        <v>9900</v>
      </c>
      <c r="S940" s="1585"/>
      <c r="T940" s="302" t="b">
        <f t="shared" si="25"/>
        <v>1</v>
      </c>
      <c r="V940" s="1587" t="s">
        <v>1093</v>
      </c>
      <c r="W940" s="1591">
        <f t="shared" si="33"/>
        <v>0</v>
      </c>
      <c r="X940" s="1591">
        <f t="shared" si="28"/>
        <v>0</v>
      </c>
      <c r="Y940" s="1591">
        <f t="shared" si="29"/>
        <v>0</v>
      </c>
      <c r="Z940" s="1591">
        <f t="shared" si="30"/>
        <v>0</v>
      </c>
      <c r="AA940" s="1591">
        <f t="shared" si="31"/>
        <v>0</v>
      </c>
      <c r="AB940" s="1591" t="b">
        <f t="shared" si="32"/>
        <v>1</v>
      </c>
      <c r="AD940" s="1728"/>
      <c r="AE940" s="1728"/>
      <c r="AF940" s="743"/>
      <c r="AG940" s="743"/>
      <c r="AH940" s="743"/>
      <c r="AI940" s="743"/>
    </row>
    <row r="941" spans="1:35" x14ac:dyDescent="0.25">
      <c r="A941" s="751" t="s">
        <v>552</v>
      </c>
      <c r="B941" s="751"/>
      <c r="C941" s="745" t="s">
        <v>1094</v>
      </c>
      <c r="D941" s="311">
        <f t="shared" si="27"/>
        <v>2000</v>
      </c>
      <c r="E941" s="311">
        <v>2000</v>
      </c>
      <c r="F941" s="311"/>
      <c r="G941" s="311"/>
      <c r="H941" s="311"/>
      <c r="I941" s="311"/>
      <c r="J941" s="311"/>
      <c r="K941" s="311"/>
      <c r="L941" s="311"/>
      <c r="M941" s="750">
        <f t="shared" si="24"/>
        <v>4000</v>
      </c>
      <c r="Q941" s="302">
        <v>2000</v>
      </c>
      <c r="R941" s="302">
        <v>2000</v>
      </c>
      <c r="S941" s="1585"/>
      <c r="T941" s="302" t="b">
        <f t="shared" si="25"/>
        <v>1</v>
      </c>
      <c r="V941" s="1587" t="s">
        <v>1094</v>
      </c>
      <c r="W941" s="1591">
        <f t="shared" si="33"/>
        <v>0</v>
      </c>
      <c r="X941" s="1591">
        <f t="shared" si="28"/>
        <v>0</v>
      </c>
      <c r="Y941" s="1591">
        <f t="shared" si="29"/>
        <v>0</v>
      </c>
      <c r="Z941" s="1591">
        <f t="shared" si="30"/>
        <v>0</v>
      </c>
      <c r="AA941" s="1591">
        <f t="shared" si="31"/>
        <v>0</v>
      </c>
      <c r="AB941" s="1591" t="b">
        <f t="shared" si="32"/>
        <v>1</v>
      </c>
      <c r="AD941" s="1728"/>
      <c r="AE941" s="1728"/>
      <c r="AF941" s="743"/>
      <c r="AG941" s="743"/>
      <c r="AH941" s="743"/>
      <c r="AI941" s="743"/>
    </row>
    <row r="942" spans="1:35" hidden="1" x14ac:dyDescent="0.25">
      <c r="A942" s="751" t="s">
        <v>553</v>
      </c>
      <c r="B942" s="751"/>
      <c r="C942" s="745" t="s">
        <v>1095</v>
      </c>
      <c r="D942" s="311">
        <f t="shared" si="27"/>
        <v>0</v>
      </c>
      <c r="E942" s="311">
        <f>700-700</f>
        <v>0</v>
      </c>
      <c r="F942" s="311"/>
      <c r="G942" s="311"/>
      <c r="H942" s="311"/>
      <c r="I942" s="311"/>
      <c r="J942" s="311"/>
      <c r="K942" s="311"/>
      <c r="L942" s="311"/>
      <c r="M942" s="750">
        <f t="shared" si="24"/>
        <v>0</v>
      </c>
      <c r="Q942" s="302">
        <v>700</v>
      </c>
      <c r="R942" s="302">
        <v>700</v>
      </c>
      <c r="S942" s="1585"/>
      <c r="T942" s="302" t="b">
        <f t="shared" si="25"/>
        <v>1</v>
      </c>
      <c r="V942" s="1587" t="s">
        <v>1095</v>
      </c>
      <c r="W942" s="1591">
        <f t="shared" si="33"/>
        <v>-700</v>
      </c>
      <c r="X942" s="1591">
        <f t="shared" si="28"/>
        <v>-700</v>
      </c>
      <c r="Y942" s="1591">
        <f t="shared" si="29"/>
        <v>0</v>
      </c>
      <c r="Z942" s="1591">
        <f t="shared" si="30"/>
        <v>0</v>
      </c>
      <c r="AA942" s="1591">
        <f t="shared" si="31"/>
        <v>0</v>
      </c>
      <c r="AB942" s="1591" t="b">
        <f t="shared" si="32"/>
        <v>1</v>
      </c>
      <c r="AD942" s="1728"/>
      <c r="AE942" s="1728"/>
      <c r="AF942" s="743"/>
      <c r="AG942" s="743"/>
      <c r="AH942" s="743"/>
      <c r="AI942" s="743"/>
    </row>
    <row r="943" spans="1:35" x14ac:dyDescent="0.25">
      <c r="A943" s="751" t="s">
        <v>554</v>
      </c>
      <c r="B943" s="751"/>
      <c r="C943" s="745" t="s">
        <v>1096</v>
      </c>
      <c r="D943" s="311">
        <f t="shared" si="27"/>
        <v>18100</v>
      </c>
      <c r="E943" s="311">
        <v>18100</v>
      </c>
      <c r="F943" s="311"/>
      <c r="G943" s="311"/>
      <c r="H943" s="311"/>
      <c r="I943" s="311"/>
      <c r="J943" s="311"/>
      <c r="K943" s="311"/>
      <c r="L943" s="311"/>
      <c r="M943" s="750">
        <f t="shared" si="24"/>
        <v>36200</v>
      </c>
      <c r="Q943" s="302">
        <v>18100</v>
      </c>
      <c r="R943" s="302">
        <v>18100</v>
      </c>
      <c r="S943" s="1585"/>
      <c r="T943" s="302" t="b">
        <f t="shared" si="25"/>
        <v>1</v>
      </c>
      <c r="V943" s="1587" t="s">
        <v>1096</v>
      </c>
      <c r="W943" s="1591">
        <f t="shared" si="33"/>
        <v>0</v>
      </c>
      <c r="X943" s="1591">
        <f t="shared" si="28"/>
        <v>0</v>
      </c>
      <c r="Y943" s="1591">
        <f t="shared" si="29"/>
        <v>0</v>
      </c>
      <c r="Z943" s="1591">
        <f t="shared" si="30"/>
        <v>0</v>
      </c>
      <c r="AA943" s="1591">
        <f t="shared" si="31"/>
        <v>0</v>
      </c>
      <c r="AB943" s="1591" t="b">
        <f t="shared" si="32"/>
        <v>1</v>
      </c>
      <c r="AD943" s="1728"/>
      <c r="AE943" s="1728"/>
      <c r="AF943" s="743"/>
      <c r="AG943" s="743"/>
      <c r="AH943" s="743"/>
      <c r="AI943" s="743"/>
    </row>
    <row r="944" spans="1:35" x14ac:dyDescent="0.25">
      <c r="A944" s="751" t="s">
        <v>555</v>
      </c>
      <c r="B944" s="751"/>
      <c r="C944" s="745" t="s">
        <v>1097</v>
      </c>
      <c r="D944" s="311">
        <f t="shared" si="27"/>
        <v>79960</v>
      </c>
      <c r="E944" s="311">
        <v>57700</v>
      </c>
      <c r="F944" s="311">
        <v>22260</v>
      </c>
      <c r="G944" s="311"/>
      <c r="H944" s="311"/>
      <c r="I944" s="311"/>
      <c r="J944" s="311"/>
      <c r="K944" s="311"/>
      <c r="L944" s="311"/>
      <c r="M944" s="750">
        <f t="shared" si="24"/>
        <v>159920</v>
      </c>
      <c r="Q944" s="302">
        <v>79960</v>
      </c>
      <c r="R944" s="302">
        <v>57700</v>
      </c>
      <c r="S944" s="1585">
        <v>22260</v>
      </c>
      <c r="T944" s="302" t="b">
        <f t="shared" si="25"/>
        <v>1</v>
      </c>
      <c r="V944" s="1587" t="s">
        <v>1097</v>
      </c>
      <c r="W944" s="1591">
        <f t="shared" si="33"/>
        <v>0</v>
      </c>
      <c r="X944" s="1591">
        <f t="shared" si="28"/>
        <v>0</v>
      </c>
      <c r="Y944" s="1591">
        <f t="shared" si="29"/>
        <v>0</v>
      </c>
      <c r="Z944" s="1591">
        <f t="shared" si="30"/>
        <v>0</v>
      </c>
      <c r="AA944" s="1591">
        <f t="shared" si="31"/>
        <v>0</v>
      </c>
      <c r="AB944" s="1591" t="b">
        <f t="shared" si="32"/>
        <v>1</v>
      </c>
      <c r="AD944" s="1728"/>
      <c r="AE944" s="1728"/>
      <c r="AF944" s="743"/>
      <c r="AG944" s="743"/>
      <c r="AH944" s="743"/>
      <c r="AI944" s="743"/>
    </row>
    <row r="945" spans="1:35" x14ac:dyDescent="0.25">
      <c r="A945" s="751" t="s">
        <v>556</v>
      </c>
      <c r="B945" s="751"/>
      <c r="C945" s="745" t="s">
        <v>1098</v>
      </c>
      <c r="D945" s="311">
        <f t="shared" si="27"/>
        <v>63130</v>
      </c>
      <c r="E945" s="311">
        <v>52000</v>
      </c>
      <c r="F945" s="311">
        <v>11130</v>
      </c>
      <c r="G945" s="311"/>
      <c r="H945" s="311"/>
      <c r="I945" s="311"/>
      <c r="J945" s="311"/>
      <c r="K945" s="311"/>
      <c r="L945" s="311"/>
      <c r="M945" s="750">
        <f t="shared" si="24"/>
        <v>126260</v>
      </c>
      <c r="Q945" s="302">
        <v>63130</v>
      </c>
      <c r="R945" s="302">
        <v>52000</v>
      </c>
      <c r="S945" s="1585">
        <v>11130</v>
      </c>
      <c r="T945" s="302" t="b">
        <f t="shared" si="25"/>
        <v>1</v>
      </c>
      <c r="V945" s="1587" t="s">
        <v>1098</v>
      </c>
      <c r="W945" s="1591">
        <f t="shared" si="33"/>
        <v>0</v>
      </c>
      <c r="X945" s="1591">
        <f t="shared" si="28"/>
        <v>0</v>
      </c>
      <c r="Y945" s="1591">
        <f t="shared" si="29"/>
        <v>0</v>
      </c>
      <c r="Z945" s="1591">
        <f t="shared" si="30"/>
        <v>0</v>
      </c>
      <c r="AA945" s="1591">
        <f t="shared" si="31"/>
        <v>0</v>
      </c>
      <c r="AB945" s="1591" t="b">
        <f t="shared" si="32"/>
        <v>1</v>
      </c>
      <c r="AD945" s="1728"/>
      <c r="AE945" s="1728"/>
      <c r="AF945" s="743"/>
      <c r="AG945" s="743"/>
      <c r="AH945" s="743"/>
      <c r="AI945" s="743"/>
    </row>
    <row r="946" spans="1:35" x14ac:dyDescent="0.25">
      <c r="A946" s="751" t="s">
        <v>557</v>
      </c>
      <c r="B946" s="751"/>
      <c r="C946" s="745" t="s">
        <v>1099</v>
      </c>
      <c r="D946" s="311">
        <f t="shared" si="27"/>
        <v>264480</v>
      </c>
      <c r="E946" s="311">
        <v>197700</v>
      </c>
      <c r="F946" s="311">
        <v>66780</v>
      </c>
      <c r="G946" s="311"/>
      <c r="H946" s="311"/>
      <c r="I946" s="311"/>
      <c r="J946" s="311"/>
      <c r="K946" s="311"/>
      <c r="L946" s="311"/>
      <c r="M946" s="750">
        <f t="shared" si="24"/>
        <v>528960</v>
      </c>
      <c r="Q946" s="302">
        <v>264480</v>
      </c>
      <c r="R946" s="302">
        <v>197700</v>
      </c>
      <c r="S946" s="1585">
        <v>66780</v>
      </c>
      <c r="T946" s="302" t="b">
        <f t="shared" si="25"/>
        <v>1</v>
      </c>
      <c r="V946" s="1587" t="s">
        <v>1099</v>
      </c>
      <c r="W946" s="1591">
        <f t="shared" si="33"/>
        <v>0</v>
      </c>
      <c r="X946" s="1591">
        <f t="shared" si="28"/>
        <v>0</v>
      </c>
      <c r="Y946" s="1591">
        <f t="shared" si="29"/>
        <v>0</v>
      </c>
      <c r="Z946" s="1591">
        <f t="shared" si="30"/>
        <v>0</v>
      </c>
      <c r="AA946" s="1591">
        <f t="shared" si="31"/>
        <v>0</v>
      </c>
      <c r="AB946" s="1591" t="b">
        <f t="shared" si="32"/>
        <v>1</v>
      </c>
      <c r="AD946" s="1728"/>
      <c r="AE946" s="1728"/>
      <c r="AF946" s="743"/>
      <c r="AG946" s="743"/>
      <c r="AH946" s="743"/>
      <c r="AI946" s="743"/>
    </row>
    <row r="947" spans="1:35" x14ac:dyDescent="0.25">
      <c r="A947" s="751" t="s">
        <v>558</v>
      </c>
      <c r="B947" s="751"/>
      <c r="C947" s="745" t="s">
        <v>1100</v>
      </c>
      <c r="D947" s="311">
        <f t="shared" si="27"/>
        <v>10200</v>
      </c>
      <c r="E947" s="311">
        <v>10200</v>
      </c>
      <c r="F947" s="311"/>
      <c r="G947" s="311"/>
      <c r="H947" s="311"/>
      <c r="I947" s="311"/>
      <c r="J947" s="311"/>
      <c r="K947" s="311"/>
      <c r="L947" s="311"/>
      <c r="M947" s="750">
        <f t="shared" ref="M947:M973" si="34">SUM(D947:H947)</f>
        <v>20400</v>
      </c>
      <c r="Q947" s="302">
        <v>10200</v>
      </c>
      <c r="R947" s="302">
        <v>10200</v>
      </c>
      <c r="S947" s="1585"/>
      <c r="T947" s="302" t="b">
        <f t="shared" ref="T947:T978" si="35">S947+R947=Q947</f>
        <v>1</v>
      </c>
      <c r="V947" s="1587" t="s">
        <v>1100</v>
      </c>
      <c r="W947" s="1591">
        <f t="shared" si="33"/>
        <v>0</v>
      </c>
      <c r="X947" s="1591">
        <f t="shared" si="28"/>
        <v>0</v>
      </c>
      <c r="Y947" s="1591">
        <f t="shared" si="29"/>
        <v>0</v>
      </c>
      <c r="Z947" s="1591">
        <f t="shared" si="30"/>
        <v>0</v>
      </c>
      <c r="AA947" s="1591">
        <f t="shared" si="31"/>
        <v>0</v>
      </c>
      <c r="AB947" s="1591" t="b">
        <f t="shared" si="32"/>
        <v>1</v>
      </c>
      <c r="AD947" s="1728"/>
      <c r="AE947" s="1728"/>
      <c r="AF947" s="743"/>
      <c r="AG947" s="743"/>
      <c r="AH947" s="743"/>
      <c r="AI947" s="743"/>
    </row>
    <row r="948" spans="1:35" x14ac:dyDescent="0.25">
      <c r="A948" s="751" t="s">
        <v>559</v>
      </c>
      <c r="B948" s="751"/>
      <c r="C948" s="745" t="s">
        <v>1101</v>
      </c>
      <c r="D948" s="311">
        <f t="shared" si="27"/>
        <v>5200</v>
      </c>
      <c r="E948" s="311">
        <v>5200</v>
      </c>
      <c r="F948" s="311"/>
      <c r="G948" s="311"/>
      <c r="H948" s="311"/>
      <c r="I948" s="311"/>
      <c r="J948" s="311"/>
      <c r="K948" s="311"/>
      <c r="L948" s="311"/>
      <c r="M948" s="750">
        <f t="shared" si="34"/>
        <v>10400</v>
      </c>
      <c r="Q948" s="302">
        <v>5200</v>
      </c>
      <c r="R948" s="302">
        <v>5200</v>
      </c>
      <c r="S948" s="1585"/>
      <c r="T948" s="302" t="b">
        <f t="shared" si="35"/>
        <v>1</v>
      </c>
      <c r="V948" s="1587" t="s">
        <v>1101</v>
      </c>
      <c r="W948" s="1591">
        <f t="shared" si="33"/>
        <v>0</v>
      </c>
      <c r="X948" s="1591">
        <f t="shared" ref="X948:X981" si="36">E948-R948</f>
        <v>0</v>
      </c>
      <c r="Y948" s="1591">
        <f t="shared" si="29"/>
        <v>0</v>
      </c>
      <c r="Z948" s="1591">
        <f t="shared" si="30"/>
        <v>0</v>
      </c>
      <c r="AA948" s="1591">
        <f t="shared" si="31"/>
        <v>0</v>
      </c>
      <c r="AB948" s="1591" t="b">
        <f t="shared" si="32"/>
        <v>1</v>
      </c>
      <c r="AD948" s="1728"/>
      <c r="AE948" s="1728"/>
      <c r="AF948" s="743"/>
      <c r="AG948" s="743"/>
      <c r="AH948" s="743"/>
      <c r="AI948" s="743"/>
    </row>
    <row r="949" spans="1:35" x14ac:dyDescent="0.25">
      <c r="A949" s="751" t="s">
        <v>560</v>
      </c>
      <c r="B949" s="751"/>
      <c r="C949" s="745" t="s">
        <v>1102</v>
      </c>
      <c r="D949" s="311">
        <f t="shared" si="27"/>
        <v>5700</v>
      </c>
      <c r="E949" s="311">
        <v>5700</v>
      </c>
      <c r="F949" s="311"/>
      <c r="G949" s="311"/>
      <c r="H949" s="311"/>
      <c r="I949" s="311"/>
      <c r="J949" s="311"/>
      <c r="K949" s="311"/>
      <c r="L949" s="311"/>
      <c r="M949" s="750">
        <f t="shared" si="34"/>
        <v>11400</v>
      </c>
      <c r="Q949" s="302">
        <v>5700</v>
      </c>
      <c r="R949" s="302">
        <v>5700</v>
      </c>
      <c r="S949" s="1585"/>
      <c r="T949" s="302" t="b">
        <f t="shared" si="35"/>
        <v>1</v>
      </c>
      <c r="V949" s="1587" t="s">
        <v>1102</v>
      </c>
      <c r="W949" s="1591">
        <f t="shared" si="33"/>
        <v>0</v>
      </c>
      <c r="X949" s="1591">
        <f t="shared" si="36"/>
        <v>0</v>
      </c>
      <c r="Y949" s="1591">
        <f t="shared" si="29"/>
        <v>0</v>
      </c>
      <c r="Z949" s="1591">
        <f t="shared" si="30"/>
        <v>0</v>
      </c>
      <c r="AA949" s="1591">
        <f t="shared" si="31"/>
        <v>0</v>
      </c>
      <c r="AB949" s="1591" t="b">
        <f t="shared" si="32"/>
        <v>1</v>
      </c>
      <c r="AD949" s="1728"/>
      <c r="AE949" s="1728"/>
      <c r="AF949" s="743"/>
      <c r="AG949" s="743"/>
      <c r="AH949" s="743"/>
      <c r="AI949" s="743"/>
    </row>
    <row r="950" spans="1:35" x14ac:dyDescent="0.25">
      <c r="A950" s="751" t="s">
        <v>561</v>
      </c>
      <c r="B950" s="751"/>
      <c r="C950" s="745" t="s">
        <v>1103</v>
      </c>
      <c r="D950" s="311">
        <f t="shared" si="27"/>
        <v>405910</v>
      </c>
      <c r="E950" s="311">
        <v>328000</v>
      </c>
      <c r="F950" s="311">
        <v>77910</v>
      </c>
      <c r="G950" s="311"/>
      <c r="H950" s="311"/>
      <c r="I950" s="311"/>
      <c r="J950" s="311"/>
      <c r="K950" s="311"/>
      <c r="L950" s="311"/>
      <c r="M950" s="750">
        <f t="shared" si="34"/>
        <v>811820</v>
      </c>
      <c r="Q950" s="302">
        <v>405910</v>
      </c>
      <c r="R950" s="302">
        <v>328000</v>
      </c>
      <c r="S950" s="1585">
        <v>77910</v>
      </c>
      <c r="T950" s="302" t="b">
        <f t="shared" si="35"/>
        <v>1</v>
      </c>
      <c r="V950" s="1587" t="s">
        <v>1103</v>
      </c>
      <c r="W950" s="1591">
        <f t="shared" si="33"/>
        <v>0</v>
      </c>
      <c r="X950" s="1591">
        <f t="shared" si="36"/>
        <v>0</v>
      </c>
      <c r="Y950" s="1591">
        <f t="shared" si="29"/>
        <v>0</v>
      </c>
      <c r="Z950" s="1591">
        <f t="shared" si="30"/>
        <v>0</v>
      </c>
      <c r="AA950" s="1591">
        <f t="shared" si="31"/>
        <v>0</v>
      </c>
      <c r="AB950" s="1591" t="b">
        <f t="shared" si="32"/>
        <v>1</v>
      </c>
      <c r="AD950" s="1728"/>
      <c r="AE950" s="1728"/>
      <c r="AF950" s="743"/>
      <c r="AG950" s="743"/>
      <c r="AH950" s="743"/>
      <c r="AI950" s="743"/>
    </row>
    <row r="951" spans="1:35" x14ac:dyDescent="0.25">
      <c r="A951" s="751" t="s">
        <v>562</v>
      </c>
      <c r="B951" s="751"/>
      <c r="C951" s="745" t="s">
        <v>1104</v>
      </c>
      <c r="D951" s="311">
        <f t="shared" si="27"/>
        <v>1157570</v>
      </c>
      <c r="E951" s="311">
        <f>900100+1480</f>
        <v>901580</v>
      </c>
      <c r="F951" s="311">
        <v>255990</v>
      </c>
      <c r="G951" s="311"/>
      <c r="H951" s="311"/>
      <c r="I951" s="311"/>
      <c r="J951" s="311"/>
      <c r="K951" s="311"/>
      <c r="L951" s="311"/>
      <c r="M951" s="750">
        <f t="shared" si="34"/>
        <v>2315140</v>
      </c>
      <c r="Q951" s="302">
        <v>1156090</v>
      </c>
      <c r="R951" s="302">
        <v>900100</v>
      </c>
      <c r="S951" s="1585">
        <v>255990</v>
      </c>
      <c r="T951" s="302" t="b">
        <f t="shared" si="35"/>
        <v>1</v>
      </c>
      <c r="V951" s="1587" t="s">
        <v>1104</v>
      </c>
      <c r="W951" s="1591">
        <f t="shared" si="33"/>
        <v>1480</v>
      </c>
      <c r="X951" s="1591">
        <f t="shared" si="36"/>
        <v>1480</v>
      </c>
      <c r="Y951" s="1591">
        <f t="shared" si="29"/>
        <v>0</v>
      </c>
      <c r="Z951" s="1591">
        <f t="shared" si="30"/>
        <v>0</v>
      </c>
      <c r="AA951" s="1591">
        <f t="shared" si="31"/>
        <v>0</v>
      </c>
      <c r="AB951" s="1591" t="b">
        <f t="shared" si="32"/>
        <v>1</v>
      </c>
      <c r="AD951" s="1728"/>
      <c r="AE951" s="1728"/>
      <c r="AF951" s="743"/>
      <c r="AG951" s="743"/>
      <c r="AH951" s="743"/>
      <c r="AI951" s="743"/>
    </row>
    <row r="952" spans="1:35" x14ac:dyDescent="0.25">
      <c r="A952" s="751" t="s">
        <v>563</v>
      </c>
      <c r="B952" s="751"/>
      <c r="C952" s="745" t="s">
        <v>1105</v>
      </c>
      <c r="D952" s="311">
        <f t="shared" si="27"/>
        <v>2000</v>
      </c>
      <c r="E952" s="311">
        <v>2000</v>
      </c>
      <c r="F952" s="311"/>
      <c r="G952" s="311"/>
      <c r="H952" s="311"/>
      <c r="I952" s="311"/>
      <c r="J952" s="311"/>
      <c r="K952" s="311"/>
      <c r="L952" s="311"/>
      <c r="M952" s="750">
        <f t="shared" si="34"/>
        <v>4000</v>
      </c>
      <c r="Q952" s="302">
        <v>2000</v>
      </c>
      <c r="R952" s="302">
        <v>2000</v>
      </c>
      <c r="S952" s="1585"/>
      <c r="T952" s="302" t="b">
        <f t="shared" si="35"/>
        <v>1</v>
      </c>
      <c r="V952" s="1587" t="s">
        <v>1105</v>
      </c>
      <c r="W952" s="1591">
        <f t="shared" si="33"/>
        <v>0</v>
      </c>
      <c r="X952" s="1591">
        <f t="shared" si="36"/>
        <v>0</v>
      </c>
      <c r="Y952" s="1591">
        <f t="shared" si="29"/>
        <v>0</v>
      </c>
      <c r="Z952" s="1591">
        <f t="shared" si="30"/>
        <v>0</v>
      </c>
      <c r="AA952" s="1591">
        <f t="shared" si="31"/>
        <v>0</v>
      </c>
      <c r="AB952" s="1591" t="b">
        <f t="shared" si="32"/>
        <v>1</v>
      </c>
      <c r="AD952" s="1728"/>
      <c r="AE952" s="1728"/>
      <c r="AF952" s="743"/>
      <c r="AG952" s="743"/>
      <c r="AH952" s="743"/>
      <c r="AI952" s="743"/>
    </row>
    <row r="953" spans="1:35" x14ac:dyDescent="0.25">
      <c r="A953" s="751" t="s">
        <v>564</v>
      </c>
      <c r="B953" s="751"/>
      <c r="C953" s="745" t="s">
        <v>1106</v>
      </c>
      <c r="D953" s="311">
        <f t="shared" si="27"/>
        <v>3400</v>
      </c>
      <c r="E953" s="311">
        <v>3400</v>
      </c>
      <c r="F953" s="311"/>
      <c r="G953" s="311"/>
      <c r="H953" s="311"/>
      <c r="I953" s="311"/>
      <c r="J953" s="311"/>
      <c r="K953" s="311"/>
      <c r="L953" s="311"/>
      <c r="M953" s="750">
        <f t="shared" si="34"/>
        <v>6800</v>
      </c>
      <c r="Q953" s="302">
        <v>3400</v>
      </c>
      <c r="R953" s="302">
        <v>3400</v>
      </c>
      <c r="S953" s="1585"/>
      <c r="T953" s="302" t="b">
        <f t="shared" si="35"/>
        <v>1</v>
      </c>
      <c r="V953" s="1587" t="s">
        <v>1106</v>
      </c>
      <c r="W953" s="1591">
        <f t="shared" si="33"/>
        <v>0</v>
      </c>
      <c r="X953" s="1591">
        <f t="shared" si="36"/>
        <v>0</v>
      </c>
      <c r="Y953" s="1591">
        <f t="shared" si="29"/>
        <v>0</v>
      </c>
      <c r="Z953" s="1591">
        <f t="shared" si="30"/>
        <v>0</v>
      </c>
      <c r="AA953" s="1591">
        <f t="shared" si="31"/>
        <v>0</v>
      </c>
      <c r="AB953" s="1591" t="b">
        <f t="shared" si="32"/>
        <v>1</v>
      </c>
      <c r="AD953" s="1728"/>
      <c r="AE953" s="1728"/>
      <c r="AF953" s="743"/>
      <c r="AG953" s="743"/>
      <c r="AH953" s="743"/>
      <c r="AI953" s="743"/>
    </row>
    <row r="954" spans="1:35" x14ac:dyDescent="0.25">
      <c r="A954" s="751" t="s">
        <v>565</v>
      </c>
      <c r="B954" s="751"/>
      <c r="C954" s="745" t="s">
        <v>1107</v>
      </c>
      <c r="D954" s="311">
        <f t="shared" si="27"/>
        <v>24000</v>
      </c>
      <c r="E954" s="311">
        <v>24000</v>
      </c>
      <c r="F954" s="311"/>
      <c r="G954" s="311"/>
      <c r="H954" s="311"/>
      <c r="I954" s="311"/>
      <c r="J954" s="311"/>
      <c r="K954" s="311"/>
      <c r="L954" s="311"/>
      <c r="M954" s="750">
        <f t="shared" si="34"/>
        <v>48000</v>
      </c>
      <c r="Q954" s="302">
        <v>24000</v>
      </c>
      <c r="R954" s="302">
        <v>24000</v>
      </c>
      <c r="S954" s="1585"/>
      <c r="T954" s="302" t="b">
        <f t="shared" si="35"/>
        <v>1</v>
      </c>
      <c r="V954" s="1587" t="s">
        <v>1107</v>
      </c>
      <c r="W954" s="1591">
        <f t="shared" si="33"/>
        <v>0</v>
      </c>
      <c r="X954" s="1591">
        <f t="shared" si="36"/>
        <v>0</v>
      </c>
      <c r="Y954" s="1591">
        <f t="shared" si="29"/>
        <v>0</v>
      </c>
      <c r="Z954" s="1591">
        <f t="shared" si="30"/>
        <v>0</v>
      </c>
      <c r="AA954" s="1591">
        <f t="shared" si="31"/>
        <v>0</v>
      </c>
      <c r="AB954" s="1591" t="b">
        <f t="shared" si="32"/>
        <v>1</v>
      </c>
      <c r="AD954" s="1728"/>
      <c r="AE954" s="1728"/>
      <c r="AF954" s="743"/>
      <c r="AG954" s="743"/>
      <c r="AH954" s="743"/>
      <c r="AI954" s="743"/>
    </row>
    <row r="955" spans="1:35" x14ac:dyDescent="0.25">
      <c r="A955" s="751" t="s">
        <v>566</v>
      </c>
      <c r="B955" s="751"/>
      <c r="C955" s="745" t="s">
        <v>1108</v>
      </c>
      <c r="D955" s="311">
        <f t="shared" si="27"/>
        <v>5500</v>
      </c>
      <c r="E955" s="311">
        <v>5500</v>
      </c>
      <c r="F955" s="311"/>
      <c r="G955" s="311"/>
      <c r="H955" s="311"/>
      <c r="I955" s="311"/>
      <c r="J955" s="311"/>
      <c r="K955" s="311"/>
      <c r="L955" s="311"/>
      <c r="M955" s="750">
        <f t="shared" si="34"/>
        <v>11000</v>
      </c>
      <c r="Q955" s="302">
        <v>5500</v>
      </c>
      <c r="R955" s="302">
        <v>5500</v>
      </c>
      <c r="S955" s="1585"/>
      <c r="T955" s="302" t="b">
        <f t="shared" si="35"/>
        <v>1</v>
      </c>
      <c r="V955" s="1587" t="s">
        <v>1108</v>
      </c>
      <c r="W955" s="1591">
        <f t="shared" si="33"/>
        <v>0</v>
      </c>
      <c r="X955" s="1591">
        <f t="shared" si="36"/>
        <v>0</v>
      </c>
      <c r="Y955" s="1591">
        <f t="shared" si="29"/>
        <v>0</v>
      </c>
      <c r="Z955" s="1591">
        <f t="shared" si="30"/>
        <v>0</v>
      </c>
      <c r="AA955" s="1591">
        <f t="shared" si="31"/>
        <v>0</v>
      </c>
      <c r="AB955" s="1591" t="b">
        <f t="shared" si="32"/>
        <v>1</v>
      </c>
      <c r="AD955" s="1728"/>
      <c r="AE955" s="1728"/>
      <c r="AF955" s="743"/>
      <c r="AG955" s="743"/>
      <c r="AH955" s="743"/>
      <c r="AI955" s="743"/>
    </row>
    <row r="956" spans="1:35" x14ac:dyDescent="0.25">
      <c r="A956" s="751" t="s">
        <v>567</v>
      </c>
      <c r="B956" s="751"/>
      <c r="C956" s="745" t="s">
        <v>1109</v>
      </c>
      <c r="D956" s="311">
        <f t="shared" si="27"/>
        <v>6500</v>
      </c>
      <c r="E956" s="311">
        <v>6500</v>
      </c>
      <c r="F956" s="311"/>
      <c r="G956" s="311"/>
      <c r="H956" s="311"/>
      <c r="I956" s="311"/>
      <c r="J956" s="311"/>
      <c r="K956" s="311"/>
      <c r="L956" s="311"/>
      <c r="M956" s="750">
        <f t="shared" si="34"/>
        <v>13000</v>
      </c>
      <c r="Q956" s="302">
        <v>6500</v>
      </c>
      <c r="R956" s="302">
        <v>6500</v>
      </c>
      <c r="S956" s="1585"/>
      <c r="T956" s="302" t="b">
        <f t="shared" si="35"/>
        <v>1</v>
      </c>
      <c r="V956" s="1587" t="s">
        <v>1109</v>
      </c>
      <c r="W956" s="1591">
        <f t="shared" si="33"/>
        <v>0</v>
      </c>
      <c r="X956" s="1591">
        <f t="shared" si="36"/>
        <v>0</v>
      </c>
      <c r="Y956" s="1591">
        <f t="shared" si="29"/>
        <v>0</v>
      </c>
      <c r="Z956" s="1591">
        <f t="shared" si="30"/>
        <v>0</v>
      </c>
      <c r="AA956" s="1591">
        <f t="shared" si="31"/>
        <v>0</v>
      </c>
      <c r="AB956" s="1591" t="b">
        <f t="shared" si="32"/>
        <v>1</v>
      </c>
      <c r="AD956" s="1728"/>
      <c r="AE956" s="1728"/>
      <c r="AF956" s="743"/>
      <c r="AG956" s="743"/>
      <c r="AH956" s="743"/>
      <c r="AI956" s="743"/>
    </row>
    <row r="957" spans="1:35" x14ac:dyDescent="0.25">
      <c r="A957" s="751" t="s">
        <v>780</v>
      </c>
      <c r="B957" s="751"/>
      <c r="C957" s="745" t="s">
        <v>1110</v>
      </c>
      <c r="D957" s="311">
        <f t="shared" si="27"/>
        <v>2200</v>
      </c>
      <c r="E957" s="311">
        <v>2200</v>
      </c>
      <c r="F957" s="311"/>
      <c r="G957" s="311"/>
      <c r="H957" s="311"/>
      <c r="I957" s="311"/>
      <c r="J957" s="311"/>
      <c r="K957" s="311"/>
      <c r="L957" s="311"/>
      <c r="M957" s="750">
        <f t="shared" si="34"/>
        <v>4400</v>
      </c>
      <c r="Q957" s="302">
        <v>2200</v>
      </c>
      <c r="R957" s="302">
        <v>2200</v>
      </c>
      <c r="S957" s="1585"/>
      <c r="T957" s="302" t="b">
        <f t="shared" si="35"/>
        <v>1</v>
      </c>
      <c r="V957" s="1587" t="s">
        <v>1110</v>
      </c>
      <c r="W957" s="1591">
        <f t="shared" si="33"/>
        <v>0</v>
      </c>
      <c r="X957" s="1591">
        <f t="shared" si="36"/>
        <v>0</v>
      </c>
      <c r="Y957" s="1591">
        <f t="shared" si="29"/>
        <v>0</v>
      </c>
      <c r="Z957" s="1591">
        <f t="shared" si="30"/>
        <v>0</v>
      </c>
      <c r="AA957" s="1591">
        <f t="shared" si="31"/>
        <v>0</v>
      </c>
      <c r="AB957" s="1591" t="b">
        <f t="shared" si="32"/>
        <v>1</v>
      </c>
      <c r="AD957" s="1728"/>
      <c r="AE957" s="1728"/>
      <c r="AF957" s="743"/>
      <c r="AG957" s="743"/>
      <c r="AH957" s="743"/>
      <c r="AI957" s="743"/>
    </row>
    <row r="958" spans="1:35" x14ac:dyDescent="0.25">
      <c r="A958" s="751" t="s">
        <v>781</v>
      </c>
      <c r="B958" s="751"/>
      <c r="C958" s="745" t="s">
        <v>1111</v>
      </c>
      <c r="D958" s="311">
        <f t="shared" si="27"/>
        <v>4500</v>
      </c>
      <c r="E958" s="311">
        <v>4500</v>
      </c>
      <c r="F958" s="311"/>
      <c r="G958" s="311"/>
      <c r="H958" s="311"/>
      <c r="I958" s="311"/>
      <c r="J958" s="311"/>
      <c r="K958" s="311"/>
      <c r="L958" s="311"/>
      <c r="M958" s="750">
        <f t="shared" si="34"/>
        <v>9000</v>
      </c>
      <c r="Q958" s="302">
        <v>4500</v>
      </c>
      <c r="R958" s="302">
        <v>4500</v>
      </c>
      <c r="S958" s="1585"/>
      <c r="T958" s="302" t="b">
        <f t="shared" si="35"/>
        <v>1</v>
      </c>
      <c r="V958" s="1587" t="s">
        <v>1111</v>
      </c>
      <c r="W958" s="1591">
        <f t="shared" si="33"/>
        <v>0</v>
      </c>
      <c r="X958" s="1591">
        <f t="shared" si="36"/>
        <v>0</v>
      </c>
      <c r="Y958" s="1591">
        <f t="shared" si="29"/>
        <v>0</v>
      </c>
      <c r="Z958" s="1591">
        <f t="shared" si="30"/>
        <v>0</v>
      </c>
      <c r="AA958" s="1591">
        <f t="shared" si="31"/>
        <v>0</v>
      </c>
      <c r="AB958" s="1591" t="b">
        <f t="shared" si="32"/>
        <v>1</v>
      </c>
      <c r="AD958" s="1728"/>
      <c r="AE958" s="1728"/>
      <c r="AF958" s="743"/>
      <c r="AG958" s="743"/>
      <c r="AH958" s="743"/>
      <c r="AI958" s="743"/>
    </row>
    <row r="959" spans="1:35" x14ac:dyDescent="0.25">
      <c r="A959" s="751" t="s">
        <v>782</v>
      </c>
      <c r="B959" s="751"/>
      <c r="C959" s="745" t="s">
        <v>1112</v>
      </c>
      <c r="D959" s="311">
        <f t="shared" si="27"/>
        <v>2000</v>
      </c>
      <c r="E959" s="311">
        <v>2000</v>
      </c>
      <c r="F959" s="311"/>
      <c r="G959" s="311"/>
      <c r="H959" s="311"/>
      <c r="I959" s="311"/>
      <c r="J959" s="311"/>
      <c r="K959" s="311"/>
      <c r="L959" s="311"/>
      <c r="M959" s="750">
        <f t="shared" si="34"/>
        <v>4000</v>
      </c>
      <c r="Q959" s="302">
        <v>2000</v>
      </c>
      <c r="R959" s="302">
        <v>2000</v>
      </c>
      <c r="S959" s="1585"/>
      <c r="T959" s="302" t="b">
        <f t="shared" si="35"/>
        <v>1</v>
      </c>
      <c r="V959" s="1587" t="s">
        <v>1112</v>
      </c>
      <c r="W959" s="1591">
        <f t="shared" si="33"/>
        <v>0</v>
      </c>
      <c r="X959" s="1591">
        <f t="shared" si="36"/>
        <v>0</v>
      </c>
      <c r="Y959" s="1591">
        <f t="shared" si="29"/>
        <v>0</v>
      </c>
      <c r="Z959" s="1591">
        <f t="shared" si="30"/>
        <v>0</v>
      </c>
      <c r="AA959" s="1591">
        <f t="shared" si="31"/>
        <v>0</v>
      </c>
      <c r="AB959" s="1591" t="b">
        <f t="shared" si="32"/>
        <v>1</v>
      </c>
      <c r="AD959" s="1728"/>
      <c r="AE959" s="1728"/>
      <c r="AF959" s="743"/>
      <c r="AG959" s="743"/>
      <c r="AH959" s="743"/>
      <c r="AI959" s="743"/>
    </row>
    <row r="960" spans="1:35" x14ac:dyDescent="0.25">
      <c r="A960" s="751" t="s">
        <v>783</v>
      </c>
      <c r="B960" s="751"/>
      <c r="C960" s="745" t="s">
        <v>1113</v>
      </c>
      <c r="D960" s="311">
        <f t="shared" si="27"/>
        <v>7780</v>
      </c>
      <c r="E960" s="311">
        <f>6300+1480</f>
        <v>7780</v>
      </c>
      <c r="F960" s="311"/>
      <c r="G960" s="311"/>
      <c r="H960" s="311"/>
      <c r="I960" s="311"/>
      <c r="J960" s="311"/>
      <c r="K960" s="311"/>
      <c r="L960" s="311"/>
      <c r="M960" s="750">
        <f t="shared" si="34"/>
        <v>15560</v>
      </c>
      <c r="Q960" s="302">
        <v>6300</v>
      </c>
      <c r="R960" s="302">
        <v>6300</v>
      </c>
      <c r="S960" s="1585"/>
      <c r="T960" s="302" t="b">
        <f t="shared" si="35"/>
        <v>1</v>
      </c>
      <c r="V960" s="1587" t="s">
        <v>1113</v>
      </c>
      <c r="W960" s="1591">
        <f t="shared" si="33"/>
        <v>1480</v>
      </c>
      <c r="X960" s="1591">
        <f t="shared" si="36"/>
        <v>1480</v>
      </c>
      <c r="Y960" s="1591">
        <f t="shared" si="29"/>
        <v>0</v>
      </c>
      <c r="Z960" s="1591">
        <f t="shared" si="30"/>
        <v>0</v>
      </c>
      <c r="AA960" s="1591">
        <f t="shared" si="31"/>
        <v>0</v>
      </c>
      <c r="AB960" s="1591" t="b">
        <f t="shared" si="32"/>
        <v>1</v>
      </c>
      <c r="AD960" s="1728"/>
      <c r="AE960" s="1728"/>
      <c r="AF960" s="743"/>
      <c r="AG960" s="743"/>
      <c r="AH960" s="743"/>
      <c r="AI960" s="743"/>
    </row>
    <row r="961" spans="1:35" x14ac:dyDescent="0.25">
      <c r="A961" s="751" t="s">
        <v>784</v>
      </c>
      <c r="B961" s="751"/>
      <c r="C961" s="745" t="s">
        <v>1114</v>
      </c>
      <c r="D961" s="311">
        <f t="shared" si="27"/>
        <v>9700</v>
      </c>
      <c r="E961" s="311">
        <v>9700</v>
      </c>
      <c r="F961" s="311"/>
      <c r="G961" s="311"/>
      <c r="H961" s="311"/>
      <c r="I961" s="311"/>
      <c r="J961" s="311"/>
      <c r="K961" s="311"/>
      <c r="L961" s="311"/>
      <c r="M961" s="750">
        <f t="shared" si="34"/>
        <v>19400</v>
      </c>
      <c r="Q961" s="302">
        <v>9700</v>
      </c>
      <c r="R961" s="302">
        <v>9700</v>
      </c>
      <c r="S961" s="1585"/>
      <c r="T961" s="302" t="b">
        <f t="shared" si="35"/>
        <v>1</v>
      </c>
      <c r="V961" s="1587" t="s">
        <v>1114</v>
      </c>
      <c r="W961" s="1591">
        <f t="shared" si="33"/>
        <v>0</v>
      </c>
      <c r="X961" s="1591">
        <f t="shared" si="36"/>
        <v>0</v>
      </c>
      <c r="Y961" s="1591">
        <f t="shared" si="29"/>
        <v>0</v>
      </c>
      <c r="Z961" s="1591">
        <f t="shared" si="30"/>
        <v>0</v>
      </c>
      <c r="AA961" s="1591">
        <f t="shared" si="31"/>
        <v>0</v>
      </c>
      <c r="AB961" s="1591" t="b">
        <f t="shared" si="32"/>
        <v>1</v>
      </c>
      <c r="AD961" s="1728"/>
      <c r="AE961" s="1728"/>
      <c r="AF961" s="743"/>
      <c r="AG961" s="743"/>
      <c r="AH961" s="743"/>
      <c r="AI961" s="743"/>
    </row>
    <row r="962" spans="1:35" hidden="1" x14ac:dyDescent="0.25">
      <c r="A962" s="751" t="s">
        <v>785</v>
      </c>
      <c r="B962" s="751"/>
      <c r="C962" s="745" t="s">
        <v>1115</v>
      </c>
      <c r="D962" s="311">
        <f t="shared" si="27"/>
        <v>0</v>
      </c>
      <c r="E962" s="311">
        <f>900-900</f>
        <v>0</v>
      </c>
      <c r="F962" s="311"/>
      <c r="G962" s="311"/>
      <c r="H962" s="311"/>
      <c r="I962" s="311"/>
      <c r="J962" s="311"/>
      <c r="K962" s="311"/>
      <c r="L962" s="311"/>
      <c r="M962" s="750">
        <f t="shared" si="34"/>
        <v>0</v>
      </c>
      <c r="Q962" s="302">
        <v>900</v>
      </c>
      <c r="R962" s="302">
        <v>900</v>
      </c>
      <c r="S962" s="1585"/>
      <c r="T962" s="302" t="b">
        <f t="shared" si="35"/>
        <v>1</v>
      </c>
      <c r="V962" s="1587" t="s">
        <v>1115</v>
      </c>
      <c r="W962" s="1591">
        <f t="shared" si="33"/>
        <v>-900</v>
      </c>
      <c r="X962" s="1591">
        <f t="shared" si="36"/>
        <v>-900</v>
      </c>
      <c r="Y962" s="1591">
        <f t="shared" si="29"/>
        <v>0</v>
      </c>
      <c r="Z962" s="1591">
        <f t="shared" si="30"/>
        <v>0</v>
      </c>
      <c r="AA962" s="1591">
        <f t="shared" si="31"/>
        <v>0</v>
      </c>
      <c r="AB962" s="1591" t="b">
        <f t="shared" si="32"/>
        <v>1</v>
      </c>
      <c r="AD962" s="1728"/>
      <c r="AE962" s="1728"/>
      <c r="AF962" s="743"/>
      <c r="AG962" s="743"/>
      <c r="AH962" s="743"/>
      <c r="AI962" s="743"/>
    </row>
    <row r="963" spans="1:35" x14ac:dyDescent="0.25">
      <c r="A963" s="751" t="s">
        <v>910</v>
      </c>
      <c r="B963" s="751"/>
      <c r="C963" s="745" t="s">
        <v>1116</v>
      </c>
      <c r="D963" s="311">
        <f t="shared" si="27"/>
        <v>311900</v>
      </c>
      <c r="E963" s="311">
        <f>242600+1480+2300</f>
        <v>246380</v>
      </c>
      <c r="F963" s="311">
        <v>44520</v>
      </c>
      <c r="G963" s="311">
        <f>9000+12000</f>
        <v>21000</v>
      </c>
      <c r="H963" s="311"/>
      <c r="I963" s="311"/>
      <c r="J963" s="311"/>
      <c r="K963" s="311"/>
      <c r="L963" s="311"/>
      <c r="M963" s="750">
        <f t="shared" si="34"/>
        <v>623800</v>
      </c>
      <c r="Q963" s="302">
        <v>287120</v>
      </c>
      <c r="R963" s="302">
        <v>242600</v>
      </c>
      <c r="S963" s="1585">
        <v>44520</v>
      </c>
      <c r="T963" s="302" t="b">
        <f t="shared" si="35"/>
        <v>1</v>
      </c>
      <c r="V963" s="1587" t="s">
        <v>1116</v>
      </c>
      <c r="W963" s="1591">
        <f t="shared" si="33"/>
        <v>24780</v>
      </c>
      <c r="X963" s="1591">
        <f t="shared" si="36"/>
        <v>3780</v>
      </c>
      <c r="Y963" s="1591">
        <f t="shared" si="29"/>
        <v>0</v>
      </c>
      <c r="Z963" s="1591">
        <f t="shared" si="30"/>
        <v>21000</v>
      </c>
      <c r="AA963" s="1591">
        <f t="shared" si="31"/>
        <v>0</v>
      </c>
      <c r="AB963" s="1591" t="b">
        <f t="shared" si="32"/>
        <v>1</v>
      </c>
      <c r="AD963" s="1728"/>
      <c r="AE963" s="1728"/>
      <c r="AF963" s="743"/>
      <c r="AG963" s="743"/>
      <c r="AH963" s="743"/>
      <c r="AI963" s="743"/>
    </row>
    <row r="964" spans="1:35" x14ac:dyDescent="0.25">
      <c r="A964" s="751" t="s">
        <v>911</v>
      </c>
      <c r="B964" s="751"/>
      <c r="C964" s="745" t="s">
        <v>1117</v>
      </c>
      <c r="D964" s="311">
        <f t="shared" si="27"/>
        <v>44900</v>
      </c>
      <c r="E964" s="311">
        <v>41900</v>
      </c>
      <c r="F964" s="311"/>
      <c r="G964" s="311">
        <v>3000</v>
      </c>
      <c r="H964" s="311"/>
      <c r="I964" s="311"/>
      <c r="J964" s="311"/>
      <c r="K964" s="311"/>
      <c r="L964" s="311"/>
      <c r="M964" s="750">
        <f t="shared" si="34"/>
        <v>89800</v>
      </c>
      <c r="Q964" s="302">
        <v>41900</v>
      </c>
      <c r="R964" s="302">
        <v>41900</v>
      </c>
      <c r="S964" s="1585"/>
      <c r="T964" s="302" t="b">
        <f t="shared" si="35"/>
        <v>1</v>
      </c>
      <c r="V964" s="1587" t="s">
        <v>1117</v>
      </c>
      <c r="W964" s="1591">
        <f t="shared" si="33"/>
        <v>3000</v>
      </c>
      <c r="X964" s="1591">
        <f t="shared" si="36"/>
        <v>0</v>
      </c>
      <c r="Y964" s="1591">
        <f t="shared" si="29"/>
        <v>0</v>
      </c>
      <c r="Z964" s="1591">
        <f t="shared" si="30"/>
        <v>3000</v>
      </c>
      <c r="AA964" s="1591">
        <f t="shared" si="31"/>
        <v>0</v>
      </c>
      <c r="AB964" s="1591" t="b">
        <f t="shared" si="32"/>
        <v>1</v>
      </c>
      <c r="AD964" s="1728"/>
      <c r="AE964" s="1728"/>
      <c r="AF964" s="743"/>
      <c r="AG964" s="743"/>
      <c r="AH964" s="743"/>
      <c r="AI964" s="743"/>
    </row>
    <row r="965" spans="1:35" x14ac:dyDescent="0.25">
      <c r="A965" s="751" t="s">
        <v>1118</v>
      </c>
      <c r="B965" s="751"/>
      <c r="C965" s="745" t="s">
        <v>1119</v>
      </c>
      <c r="D965" s="311">
        <f t="shared" si="27"/>
        <v>12000</v>
      </c>
      <c r="E965" s="311">
        <v>12000</v>
      </c>
      <c r="F965" s="311"/>
      <c r="G965" s="311"/>
      <c r="H965" s="311"/>
      <c r="I965" s="311"/>
      <c r="J965" s="311"/>
      <c r="K965" s="311"/>
      <c r="L965" s="311"/>
      <c r="M965" s="750">
        <f t="shared" si="34"/>
        <v>24000</v>
      </c>
      <c r="Q965" s="302">
        <v>12000</v>
      </c>
      <c r="R965" s="302">
        <v>12000</v>
      </c>
      <c r="S965" s="1585"/>
      <c r="T965" s="302" t="b">
        <f t="shared" si="35"/>
        <v>1</v>
      </c>
      <c r="V965" s="1587" t="s">
        <v>1119</v>
      </c>
      <c r="W965" s="1591">
        <f t="shared" si="33"/>
        <v>0</v>
      </c>
      <c r="X965" s="1591">
        <f t="shared" si="36"/>
        <v>0</v>
      </c>
      <c r="Y965" s="1591">
        <f t="shared" si="29"/>
        <v>0</v>
      </c>
      <c r="Z965" s="1591">
        <f t="shared" si="30"/>
        <v>0</v>
      </c>
      <c r="AA965" s="1591">
        <f t="shared" si="31"/>
        <v>0</v>
      </c>
      <c r="AB965" s="1591" t="b">
        <f t="shared" si="32"/>
        <v>1</v>
      </c>
      <c r="AD965" s="1728"/>
      <c r="AE965" s="1728"/>
      <c r="AF965" s="743"/>
      <c r="AG965" s="743"/>
      <c r="AH965" s="743"/>
      <c r="AI965" s="743"/>
    </row>
    <row r="966" spans="1:35" hidden="1" x14ac:dyDescent="0.25">
      <c r="A966" s="751" t="s">
        <v>1120</v>
      </c>
      <c r="B966" s="751"/>
      <c r="C966" s="745" t="s">
        <v>1121</v>
      </c>
      <c r="D966" s="311">
        <f t="shared" si="27"/>
        <v>0</v>
      </c>
      <c r="E966" s="311">
        <f>600-600</f>
        <v>0</v>
      </c>
      <c r="F966" s="311"/>
      <c r="G966" s="311"/>
      <c r="H966" s="311"/>
      <c r="I966" s="311"/>
      <c r="J966" s="311"/>
      <c r="K966" s="311"/>
      <c r="L966" s="311"/>
      <c r="M966" s="750">
        <f t="shared" si="34"/>
        <v>0</v>
      </c>
      <c r="Q966" s="302">
        <v>600</v>
      </c>
      <c r="R966" s="302">
        <v>600</v>
      </c>
      <c r="S966" s="1585"/>
      <c r="T966" s="302" t="b">
        <f t="shared" si="35"/>
        <v>1</v>
      </c>
      <c r="V966" s="1587" t="s">
        <v>1121</v>
      </c>
      <c r="W966" s="1591">
        <f t="shared" si="33"/>
        <v>-600</v>
      </c>
      <c r="X966" s="1591">
        <f t="shared" si="36"/>
        <v>-600</v>
      </c>
      <c r="Y966" s="1591">
        <f t="shared" si="29"/>
        <v>0</v>
      </c>
      <c r="Z966" s="1591">
        <f t="shared" si="30"/>
        <v>0</v>
      </c>
      <c r="AA966" s="1591">
        <f t="shared" si="31"/>
        <v>0</v>
      </c>
      <c r="AB966" s="1591" t="b">
        <f t="shared" si="32"/>
        <v>1</v>
      </c>
      <c r="AD966" s="1728"/>
      <c r="AE966" s="1728"/>
      <c r="AF966" s="743"/>
      <c r="AG966" s="743"/>
      <c r="AH966" s="743"/>
      <c r="AI966" s="743"/>
    </row>
    <row r="967" spans="1:35" x14ac:dyDescent="0.25">
      <c r="A967" s="751" t="s">
        <v>1122</v>
      </c>
      <c r="B967" s="751"/>
      <c r="C967" s="745" t="s">
        <v>1123</v>
      </c>
      <c r="D967" s="311">
        <f t="shared" si="27"/>
        <v>1100</v>
      </c>
      <c r="E967" s="311">
        <v>1100</v>
      </c>
      <c r="F967" s="311"/>
      <c r="G967" s="311"/>
      <c r="H967" s="311"/>
      <c r="I967" s="311"/>
      <c r="J967" s="311"/>
      <c r="K967" s="311"/>
      <c r="L967" s="311"/>
      <c r="M967" s="750">
        <f t="shared" si="34"/>
        <v>2200</v>
      </c>
      <c r="Q967" s="302">
        <v>1100</v>
      </c>
      <c r="R967" s="302">
        <v>1100</v>
      </c>
      <c r="S967" s="1585"/>
      <c r="T967" s="302" t="b">
        <f t="shared" si="35"/>
        <v>1</v>
      </c>
      <c r="V967" s="1587" t="s">
        <v>1123</v>
      </c>
      <c r="W967" s="1591">
        <f t="shared" si="33"/>
        <v>0</v>
      </c>
      <c r="X967" s="1591">
        <f t="shared" si="36"/>
        <v>0</v>
      </c>
      <c r="Y967" s="1591">
        <f t="shared" si="29"/>
        <v>0</v>
      </c>
      <c r="Z967" s="1591">
        <f t="shared" si="30"/>
        <v>0</v>
      </c>
      <c r="AA967" s="1591">
        <f t="shared" si="31"/>
        <v>0</v>
      </c>
      <c r="AB967" s="1591" t="b">
        <f t="shared" si="32"/>
        <v>1</v>
      </c>
      <c r="AD967" s="1728"/>
      <c r="AE967" s="1728"/>
      <c r="AF967" s="743"/>
      <c r="AG967" s="743"/>
      <c r="AH967" s="743"/>
      <c r="AI967" s="743"/>
    </row>
    <row r="968" spans="1:35" x14ac:dyDescent="0.25">
      <c r="A968" s="751" t="s">
        <v>1124</v>
      </c>
      <c r="B968" s="751"/>
      <c r="C968" s="745" t="s">
        <v>1125</v>
      </c>
      <c r="D968" s="311">
        <f t="shared" si="27"/>
        <v>13900</v>
      </c>
      <c r="E968" s="311">
        <v>13900</v>
      </c>
      <c r="F968" s="311"/>
      <c r="G968" s="311"/>
      <c r="H968" s="311"/>
      <c r="I968" s="311"/>
      <c r="J968" s="311"/>
      <c r="K968" s="311"/>
      <c r="L968" s="311"/>
      <c r="M968" s="750">
        <f t="shared" si="34"/>
        <v>27800</v>
      </c>
      <c r="Q968" s="302">
        <v>13900</v>
      </c>
      <c r="R968" s="302">
        <v>13900</v>
      </c>
      <c r="S968" s="1585"/>
      <c r="T968" s="302" t="b">
        <f t="shared" si="35"/>
        <v>1</v>
      </c>
      <c r="V968" s="1587" t="s">
        <v>1125</v>
      </c>
      <c r="W968" s="1591">
        <f t="shared" si="33"/>
        <v>0</v>
      </c>
      <c r="X968" s="1591">
        <f t="shared" si="36"/>
        <v>0</v>
      </c>
      <c r="Y968" s="1591">
        <f t="shared" si="29"/>
        <v>0</v>
      </c>
      <c r="Z968" s="1591">
        <f t="shared" si="30"/>
        <v>0</v>
      </c>
      <c r="AA968" s="1591">
        <f t="shared" si="31"/>
        <v>0</v>
      </c>
      <c r="AB968" s="1591" t="b">
        <f t="shared" si="32"/>
        <v>1</v>
      </c>
      <c r="AD968" s="1728"/>
      <c r="AE968" s="1728"/>
      <c r="AF968" s="743"/>
      <c r="AG968" s="743"/>
      <c r="AH968" s="743"/>
      <c r="AI968" s="743"/>
    </row>
    <row r="969" spans="1:35" x14ac:dyDescent="0.25">
      <c r="A969" s="751" t="s">
        <v>1126</v>
      </c>
      <c r="B969" s="751"/>
      <c r="C969" s="745" t="s">
        <v>1127</v>
      </c>
      <c r="D969" s="311">
        <f t="shared" si="27"/>
        <v>60730</v>
      </c>
      <c r="E969" s="311">
        <v>49600</v>
      </c>
      <c r="F969" s="311">
        <v>11130</v>
      </c>
      <c r="G969" s="311"/>
      <c r="H969" s="311"/>
      <c r="I969" s="311"/>
      <c r="J969" s="311"/>
      <c r="K969" s="311"/>
      <c r="L969" s="311"/>
      <c r="M969" s="750">
        <f t="shared" si="34"/>
        <v>121460</v>
      </c>
      <c r="Q969" s="302">
        <v>60730</v>
      </c>
      <c r="R969" s="302">
        <v>49600</v>
      </c>
      <c r="S969" s="1585">
        <v>11130</v>
      </c>
      <c r="T969" s="302" t="b">
        <f t="shared" si="35"/>
        <v>1</v>
      </c>
      <c r="V969" s="1587" t="s">
        <v>1127</v>
      </c>
      <c r="W969" s="1591">
        <f t="shared" si="33"/>
        <v>0</v>
      </c>
      <c r="X969" s="1591">
        <f t="shared" si="36"/>
        <v>0</v>
      </c>
      <c r="Y969" s="1591">
        <f t="shared" si="29"/>
        <v>0</v>
      </c>
      <c r="Z969" s="1591">
        <f t="shared" si="30"/>
        <v>0</v>
      </c>
      <c r="AA969" s="1591">
        <f t="shared" si="31"/>
        <v>0</v>
      </c>
      <c r="AB969" s="1591" t="b">
        <f t="shared" si="32"/>
        <v>1</v>
      </c>
      <c r="AD969" s="1728"/>
      <c r="AE969" s="1728"/>
      <c r="AF969" s="743"/>
      <c r="AG969" s="743"/>
      <c r="AH969" s="743"/>
      <c r="AI969" s="743"/>
    </row>
    <row r="970" spans="1:35" x14ac:dyDescent="0.25">
      <c r="A970" s="751" t="s">
        <v>1128</v>
      </c>
      <c r="B970" s="751"/>
      <c r="C970" s="745" t="s">
        <v>1129</v>
      </c>
      <c r="D970" s="311">
        <f t="shared" si="27"/>
        <v>30700</v>
      </c>
      <c r="E970" s="311">
        <v>24700</v>
      </c>
      <c r="F970" s="311"/>
      <c r="G970" s="311">
        <v>6000</v>
      </c>
      <c r="H970" s="311"/>
      <c r="I970" s="311"/>
      <c r="J970" s="311"/>
      <c r="K970" s="311"/>
      <c r="L970" s="311"/>
      <c r="M970" s="750">
        <f t="shared" si="34"/>
        <v>61400</v>
      </c>
      <c r="Q970" s="302">
        <v>24700</v>
      </c>
      <c r="R970" s="302">
        <v>24700</v>
      </c>
      <c r="S970" s="1585"/>
      <c r="T970" s="302" t="b">
        <f t="shared" si="35"/>
        <v>1</v>
      </c>
      <c r="V970" s="1587" t="s">
        <v>1129</v>
      </c>
      <c r="W970" s="1591">
        <f t="shared" si="33"/>
        <v>6000</v>
      </c>
      <c r="X970" s="1591">
        <f t="shared" si="36"/>
        <v>0</v>
      </c>
      <c r="Y970" s="1591">
        <f t="shared" si="29"/>
        <v>0</v>
      </c>
      <c r="Z970" s="1591">
        <f t="shared" si="30"/>
        <v>6000</v>
      </c>
      <c r="AA970" s="1591">
        <f t="shared" si="31"/>
        <v>0</v>
      </c>
      <c r="AB970" s="1591" t="b">
        <f t="shared" si="32"/>
        <v>1</v>
      </c>
      <c r="AD970" s="1728"/>
      <c r="AE970" s="1728"/>
      <c r="AF970" s="743"/>
      <c r="AG970" s="743"/>
      <c r="AH970" s="743"/>
      <c r="AI970" s="743"/>
    </row>
    <row r="971" spans="1:35" x14ac:dyDescent="0.25">
      <c r="A971" s="751" t="s">
        <v>1130</v>
      </c>
      <c r="B971" s="751"/>
      <c r="C971" s="745" t="s">
        <v>1131</v>
      </c>
      <c r="D971" s="311">
        <f t="shared" si="27"/>
        <v>7000</v>
      </c>
      <c r="E971" s="311">
        <v>7000</v>
      </c>
      <c r="F971" s="311"/>
      <c r="G971" s="311"/>
      <c r="H971" s="311"/>
      <c r="I971" s="311"/>
      <c r="J971" s="311"/>
      <c r="K971" s="311"/>
      <c r="L971" s="311"/>
      <c r="M971" s="750">
        <f t="shared" si="34"/>
        <v>14000</v>
      </c>
      <c r="Q971" s="302">
        <v>7000</v>
      </c>
      <c r="R971" s="302">
        <v>7000</v>
      </c>
      <c r="S971" s="1585"/>
      <c r="T971" s="302" t="b">
        <f t="shared" si="35"/>
        <v>1</v>
      </c>
      <c r="V971" s="1587" t="s">
        <v>1131</v>
      </c>
      <c r="W971" s="1591">
        <f t="shared" si="33"/>
        <v>0</v>
      </c>
      <c r="X971" s="1591">
        <f t="shared" si="36"/>
        <v>0</v>
      </c>
      <c r="Y971" s="1591">
        <f t="shared" si="29"/>
        <v>0</v>
      </c>
      <c r="Z971" s="1591">
        <f t="shared" si="30"/>
        <v>0</v>
      </c>
      <c r="AA971" s="1591">
        <f t="shared" si="31"/>
        <v>0</v>
      </c>
      <c r="AB971" s="1591" t="b">
        <f t="shared" si="32"/>
        <v>1</v>
      </c>
      <c r="AD971" s="1728"/>
      <c r="AE971" s="1728"/>
      <c r="AF971" s="743"/>
      <c r="AG971" s="743"/>
      <c r="AH971" s="743"/>
      <c r="AI971" s="743"/>
    </row>
    <row r="972" spans="1:35" x14ac:dyDescent="0.25">
      <c r="A972" s="751" t="s">
        <v>1132</v>
      </c>
      <c r="B972" s="751"/>
      <c r="C972" s="745" t="s">
        <v>1133</v>
      </c>
      <c r="D972" s="311">
        <f t="shared" si="27"/>
        <v>148460</v>
      </c>
      <c r="E972" s="311">
        <v>126200</v>
      </c>
      <c r="F972" s="311">
        <v>22260</v>
      </c>
      <c r="G972" s="311"/>
      <c r="H972" s="311"/>
      <c r="I972" s="311"/>
      <c r="J972" s="311"/>
      <c r="K972" s="311"/>
      <c r="L972" s="311"/>
      <c r="M972" s="750">
        <f t="shared" si="34"/>
        <v>296920</v>
      </c>
      <c r="Q972" s="302">
        <v>148460</v>
      </c>
      <c r="R972" s="302">
        <v>126200</v>
      </c>
      <c r="S972" s="1585">
        <v>22260</v>
      </c>
      <c r="T972" s="302" t="b">
        <f t="shared" si="35"/>
        <v>1</v>
      </c>
      <c r="V972" s="1587" t="s">
        <v>1133</v>
      </c>
      <c r="W972" s="1591">
        <f t="shared" si="33"/>
        <v>0</v>
      </c>
      <c r="X972" s="1591">
        <f t="shared" si="36"/>
        <v>0</v>
      </c>
      <c r="Y972" s="1591">
        <f t="shared" si="29"/>
        <v>0</v>
      </c>
      <c r="Z972" s="1591">
        <f t="shared" si="30"/>
        <v>0</v>
      </c>
      <c r="AA972" s="1591">
        <f t="shared" si="31"/>
        <v>0</v>
      </c>
      <c r="AB972" s="1591" t="b">
        <f t="shared" si="32"/>
        <v>1</v>
      </c>
      <c r="AD972" s="1728"/>
      <c r="AE972" s="1728"/>
      <c r="AF972" s="743"/>
      <c r="AG972" s="743"/>
      <c r="AH972" s="743"/>
      <c r="AI972" s="743"/>
    </row>
    <row r="973" spans="1:35" x14ac:dyDescent="0.25">
      <c r="A973" s="751" t="s">
        <v>1134</v>
      </c>
      <c r="B973" s="751"/>
      <c r="C973" s="745" t="s">
        <v>1135</v>
      </c>
      <c r="D973" s="311">
        <f t="shared" si="27"/>
        <v>4700</v>
      </c>
      <c r="E973" s="311">
        <v>4700</v>
      </c>
      <c r="F973" s="311"/>
      <c r="G973" s="311"/>
      <c r="H973" s="311"/>
      <c r="I973" s="311"/>
      <c r="J973" s="311"/>
      <c r="K973" s="311"/>
      <c r="L973" s="311"/>
      <c r="M973" s="750">
        <f t="shared" si="34"/>
        <v>9400</v>
      </c>
      <c r="Q973" s="302">
        <v>4700</v>
      </c>
      <c r="R973" s="302">
        <v>4700</v>
      </c>
      <c r="S973" s="1585"/>
      <c r="T973" s="302" t="b">
        <f t="shared" si="35"/>
        <v>1</v>
      </c>
      <c r="V973" s="1587" t="s">
        <v>1135</v>
      </c>
      <c r="W973" s="1591">
        <f t="shared" si="33"/>
        <v>0</v>
      </c>
      <c r="X973" s="1591">
        <f t="shared" si="36"/>
        <v>0</v>
      </c>
      <c r="Y973" s="1591">
        <f t="shared" si="29"/>
        <v>0</v>
      </c>
      <c r="Z973" s="1591">
        <f t="shared" si="30"/>
        <v>0</v>
      </c>
      <c r="AA973" s="1591">
        <f t="shared" si="31"/>
        <v>0</v>
      </c>
      <c r="AB973" s="1591" t="b">
        <f t="shared" si="32"/>
        <v>1</v>
      </c>
      <c r="AD973" s="1728"/>
      <c r="AE973" s="1728"/>
      <c r="AF973" s="743"/>
      <c r="AG973" s="743"/>
      <c r="AH973" s="743"/>
      <c r="AI973" s="743"/>
    </row>
    <row r="974" spans="1:35" x14ac:dyDescent="0.25">
      <c r="A974" s="751" t="s">
        <v>1136</v>
      </c>
      <c r="B974" s="751"/>
      <c r="C974" s="745" t="s">
        <v>1137</v>
      </c>
      <c r="D974" s="311">
        <f t="shared" si="27"/>
        <v>2496800</v>
      </c>
      <c r="E974" s="311">
        <f>2339500+1480</f>
        <v>2340980</v>
      </c>
      <c r="F974" s="311">
        <v>155820</v>
      </c>
      <c r="G974" s="311"/>
      <c r="H974" s="311"/>
      <c r="I974" s="311"/>
      <c r="J974" s="311"/>
      <c r="K974" s="311"/>
      <c r="L974" s="311"/>
      <c r="M974" s="750">
        <f t="shared" ref="M974:M1037" si="37">SUM(D974:H974)</f>
        <v>4993600</v>
      </c>
      <c r="Q974" s="302">
        <v>2495320</v>
      </c>
      <c r="R974" s="302">
        <v>2339500</v>
      </c>
      <c r="S974" s="1585">
        <v>155820</v>
      </c>
      <c r="T974" s="302" t="b">
        <f t="shared" si="35"/>
        <v>1</v>
      </c>
      <c r="V974" s="1587" t="s">
        <v>1137</v>
      </c>
      <c r="W974" s="1591">
        <f t="shared" si="33"/>
        <v>1480</v>
      </c>
      <c r="X974" s="1591">
        <f t="shared" si="36"/>
        <v>1480</v>
      </c>
      <c r="Y974" s="1591">
        <f t="shared" si="29"/>
        <v>0</v>
      </c>
      <c r="Z974" s="1591">
        <f t="shared" si="30"/>
        <v>0</v>
      </c>
      <c r="AA974" s="1591">
        <f t="shared" si="31"/>
        <v>0</v>
      </c>
      <c r="AB974" s="1591" t="b">
        <f t="shared" si="32"/>
        <v>1</v>
      </c>
      <c r="AD974" s="1728"/>
      <c r="AE974" s="1728"/>
      <c r="AF974" s="743"/>
      <c r="AG974" s="743"/>
      <c r="AH974" s="743"/>
      <c r="AI974" s="743"/>
    </row>
    <row r="975" spans="1:35" x14ac:dyDescent="0.25">
      <c r="A975" s="751" t="s">
        <v>1138</v>
      </c>
      <c r="B975" s="751"/>
      <c r="C975" s="745" t="s">
        <v>1139</v>
      </c>
      <c r="D975" s="311">
        <f t="shared" si="27"/>
        <v>358840</v>
      </c>
      <c r="E975" s="311">
        <v>189700</v>
      </c>
      <c r="F975" s="311">
        <v>142140</v>
      </c>
      <c r="G975" s="311">
        <v>27000</v>
      </c>
      <c r="H975" s="311"/>
      <c r="I975" s="311"/>
      <c r="J975" s="311"/>
      <c r="K975" s="311"/>
      <c r="L975" s="311"/>
      <c r="M975" s="750">
        <f t="shared" si="37"/>
        <v>717680</v>
      </c>
      <c r="Q975" s="302">
        <v>331840</v>
      </c>
      <c r="R975" s="302">
        <v>189700</v>
      </c>
      <c r="S975" s="1585">
        <v>142140</v>
      </c>
      <c r="T975" s="302" t="b">
        <f t="shared" si="35"/>
        <v>1</v>
      </c>
      <c r="V975" s="1587" t="s">
        <v>1139</v>
      </c>
      <c r="W975" s="1591">
        <f t="shared" si="33"/>
        <v>27000</v>
      </c>
      <c r="X975" s="1591">
        <f t="shared" si="36"/>
        <v>0</v>
      </c>
      <c r="Y975" s="1591">
        <f t="shared" si="29"/>
        <v>0</v>
      </c>
      <c r="Z975" s="1591">
        <f t="shared" si="30"/>
        <v>27000</v>
      </c>
      <c r="AA975" s="1591">
        <f t="shared" si="31"/>
        <v>0</v>
      </c>
      <c r="AB975" s="1591" t="b">
        <f t="shared" si="32"/>
        <v>1</v>
      </c>
      <c r="AD975" s="1728"/>
      <c r="AE975" s="1728"/>
      <c r="AF975" s="743"/>
      <c r="AG975" s="743"/>
      <c r="AH975" s="743"/>
      <c r="AI975" s="743"/>
    </row>
    <row r="976" spans="1:35" x14ac:dyDescent="0.25">
      <c r="A976" s="751" t="s">
        <v>1140</v>
      </c>
      <c r="B976" s="751"/>
      <c r="C976" s="745" t="s">
        <v>1141</v>
      </c>
      <c r="D976" s="311">
        <f t="shared" si="27"/>
        <v>36000</v>
      </c>
      <c r="E976" s="311">
        <v>21000</v>
      </c>
      <c r="F976" s="311"/>
      <c r="G976" s="311">
        <v>15000</v>
      </c>
      <c r="H976" s="311"/>
      <c r="I976" s="311"/>
      <c r="J976" s="311"/>
      <c r="K976" s="311"/>
      <c r="L976" s="311"/>
      <c r="M976" s="750">
        <f t="shared" si="37"/>
        <v>72000</v>
      </c>
      <c r="Q976" s="302">
        <v>21000</v>
      </c>
      <c r="R976" s="302">
        <v>21000</v>
      </c>
      <c r="S976" s="1585"/>
      <c r="T976" s="302" t="b">
        <f t="shared" si="35"/>
        <v>1</v>
      </c>
      <c r="V976" s="1587" t="s">
        <v>1141</v>
      </c>
      <c r="W976" s="1591">
        <f t="shared" si="33"/>
        <v>15000</v>
      </c>
      <c r="X976" s="1591">
        <f t="shared" si="36"/>
        <v>0</v>
      </c>
      <c r="Y976" s="1591">
        <f t="shared" si="29"/>
        <v>0</v>
      </c>
      <c r="Z976" s="1591">
        <f t="shared" si="30"/>
        <v>15000</v>
      </c>
      <c r="AA976" s="1591">
        <f t="shared" si="31"/>
        <v>0</v>
      </c>
      <c r="AB976" s="1591" t="b">
        <f t="shared" si="32"/>
        <v>1</v>
      </c>
      <c r="AD976" s="1728"/>
      <c r="AE976" s="1728"/>
      <c r="AF976" s="743"/>
      <c r="AG976" s="743"/>
      <c r="AH976" s="743"/>
      <c r="AI976" s="743"/>
    </row>
    <row r="977" spans="1:35" x14ac:dyDescent="0.25">
      <c r="A977" s="751" t="s">
        <v>1142</v>
      </c>
      <c r="B977" s="751"/>
      <c r="C977" s="745" t="s">
        <v>1143</v>
      </c>
      <c r="D977" s="311">
        <f t="shared" si="27"/>
        <v>6100</v>
      </c>
      <c r="E977" s="311">
        <v>6100</v>
      </c>
      <c r="F977" s="311"/>
      <c r="G977" s="311"/>
      <c r="H977" s="311"/>
      <c r="I977" s="311"/>
      <c r="J977" s="311"/>
      <c r="K977" s="311"/>
      <c r="L977" s="311"/>
      <c r="M977" s="750">
        <f t="shared" si="37"/>
        <v>12200</v>
      </c>
      <c r="Q977" s="302">
        <v>6100</v>
      </c>
      <c r="R977" s="302">
        <v>6100</v>
      </c>
      <c r="S977" s="1585"/>
      <c r="T977" s="302" t="b">
        <f t="shared" si="35"/>
        <v>1</v>
      </c>
      <c r="V977" s="1587" t="s">
        <v>1143</v>
      </c>
      <c r="W977" s="1591">
        <f t="shared" si="33"/>
        <v>0</v>
      </c>
      <c r="X977" s="1591">
        <f t="shared" si="36"/>
        <v>0</v>
      </c>
      <c r="Y977" s="1591">
        <f t="shared" si="29"/>
        <v>0</v>
      </c>
      <c r="Z977" s="1591">
        <f t="shared" si="30"/>
        <v>0</v>
      </c>
      <c r="AA977" s="1591">
        <f t="shared" si="31"/>
        <v>0</v>
      </c>
      <c r="AB977" s="1591" t="b">
        <f t="shared" si="32"/>
        <v>1</v>
      </c>
      <c r="AD977" s="1728"/>
      <c r="AE977" s="1728"/>
      <c r="AF977" s="743"/>
      <c r="AG977" s="743"/>
      <c r="AH977" s="743"/>
      <c r="AI977" s="743"/>
    </row>
    <row r="978" spans="1:35" x14ac:dyDescent="0.25">
      <c r="A978" s="751" t="s">
        <v>1144</v>
      </c>
      <c r="B978" s="751"/>
      <c r="C978" s="745" t="s">
        <v>1145</v>
      </c>
      <c r="D978" s="311">
        <f t="shared" si="27"/>
        <v>8800</v>
      </c>
      <c r="E978" s="311">
        <v>8800</v>
      </c>
      <c r="F978" s="311"/>
      <c r="G978" s="311"/>
      <c r="H978" s="311"/>
      <c r="I978" s="311"/>
      <c r="J978" s="311"/>
      <c r="K978" s="311"/>
      <c r="L978" s="311"/>
      <c r="M978" s="750">
        <f t="shared" si="37"/>
        <v>17600</v>
      </c>
      <c r="Q978" s="302">
        <v>8800</v>
      </c>
      <c r="R978" s="302">
        <v>8800</v>
      </c>
      <c r="S978" s="1585"/>
      <c r="T978" s="302" t="b">
        <f t="shared" si="35"/>
        <v>1</v>
      </c>
      <c r="V978" s="1587" t="s">
        <v>1145</v>
      </c>
      <c r="W978" s="1591">
        <f t="shared" si="33"/>
        <v>0</v>
      </c>
      <c r="X978" s="1591">
        <f t="shared" si="36"/>
        <v>0</v>
      </c>
      <c r="Y978" s="1591">
        <f t="shared" si="29"/>
        <v>0</v>
      </c>
      <c r="Z978" s="1591">
        <f t="shared" si="30"/>
        <v>0</v>
      </c>
      <c r="AA978" s="1591">
        <f t="shared" si="31"/>
        <v>0</v>
      </c>
      <c r="AB978" s="1591" t="b">
        <f t="shared" si="32"/>
        <v>1</v>
      </c>
      <c r="AD978" s="1728"/>
      <c r="AE978" s="1728"/>
      <c r="AF978" s="743"/>
      <c r="AG978" s="743"/>
      <c r="AH978" s="743"/>
      <c r="AI978" s="743"/>
    </row>
    <row r="979" spans="1:35" ht="19.5" customHeight="1" x14ac:dyDescent="0.25">
      <c r="A979" s="751" t="s">
        <v>1146</v>
      </c>
      <c r="B979" s="751"/>
      <c r="C979" s="745" t="s">
        <v>1147</v>
      </c>
      <c r="D979" s="311">
        <f t="shared" si="27"/>
        <v>13000</v>
      </c>
      <c r="E979" s="311">
        <v>7000</v>
      </c>
      <c r="F979" s="311"/>
      <c r="G979" s="311">
        <v>6000</v>
      </c>
      <c r="H979" s="311"/>
      <c r="I979" s="311"/>
      <c r="J979" s="311"/>
      <c r="K979" s="311"/>
      <c r="L979" s="311"/>
      <c r="M979" s="750">
        <f t="shared" si="37"/>
        <v>26000</v>
      </c>
      <c r="Q979" s="302">
        <v>7000</v>
      </c>
      <c r="R979" s="302">
        <v>7000</v>
      </c>
      <c r="S979" s="1585"/>
      <c r="T979" s="302" t="b">
        <f>S979+R979=Q979</f>
        <v>1</v>
      </c>
      <c r="V979" s="1587" t="s">
        <v>1147</v>
      </c>
      <c r="W979" s="1591">
        <f t="shared" si="33"/>
        <v>6000</v>
      </c>
      <c r="X979" s="1591">
        <f t="shared" si="36"/>
        <v>0</v>
      </c>
      <c r="Y979" s="1591">
        <f t="shared" si="29"/>
        <v>0</v>
      </c>
      <c r="Z979" s="1591">
        <f t="shared" si="30"/>
        <v>6000</v>
      </c>
      <c r="AA979" s="1591">
        <f t="shared" si="31"/>
        <v>0</v>
      </c>
      <c r="AB979" s="1591" t="b">
        <f t="shared" si="32"/>
        <v>1</v>
      </c>
      <c r="AD979" s="1728"/>
      <c r="AE979" s="1728"/>
      <c r="AF979" s="743"/>
      <c r="AG979" s="743"/>
      <c r="AH979" s="743"/>
      <c r="AI979" s="743"/>
    </row>
    <row r="980" spans="1:35" x14ac:dyDescent="0.25">
      <c r="A980" s="751" t="s">
        <v>1148</v>
      </c>
      <c r="B980" s="751"/>
      <c r="C980" s="745" t="s">
        <v>1149</v>
      </c>
      <c r="D980" s="311">
        <f>SUM(E980:I980)</f>
        <v>2300</v>
      </c>
      <c r="E980" s="311">
        <v>2300</v>
      </c>
      <c r="F980" s="1406"/>
      <c r="G980" s="311"/>
      <c r="H980" s="1273"/>
      <c r="I980" s="1273"/>
      <c r="J980" s="1273"/>
      <c r="K980" s="1273"/>
      <c r="L980" s="1273"/>
      <c r="M980" s="750">
        <f t="shared" si="37"/>
        <v>4600</v>
      </c>
      <c r="Q980" s="302">
        <v>2300</v>
      </c>
      <c r="R980" s="302">
        <v>2300</v>
      </c>
      <c r="S980" s="1298"/>
      <c r="T980" s="302" t="b">
        <f>S980+R980=Q980</f>
        <v>1</v>
      </c>
      <c r="V980" s="1587" t="s">
        <v>1149</v>
      </c>
      <c r="W980" s="1591">
        <f>X980+Y980+Z980</f>
        <v>0</v>
      </c>
      <c r="X980" s="1591">
        <f t="shared" si="36"/>
        <v>0</v>
      </c>
      <c r="Y980" s="1591">
        <f>F980-S980</f>
        <v>0</v>
      </c>
      <c r="Z980" s="1591">
        <f>G980</f>
        <v>0</v>
      </c>
      <c r="AA980" s="1591">
        <f>Z980+Y980+X980-W980</f>
        <v>0</v>
      </c>
      <c r="AB980" s="1591" t="b">
        <f>D980-Q980=W980</f>
        <v>1</v>
      </c>
      <c r="AD980" s="1729"/>
      <c r="AE980" s="1729"/>
      <c r="AF980" s="743"/>
      <c r="AG980" s="743"/>
      <c r="AH980" s="743"/>
      <c r="AI980" s="743"/>
    </row>
    <row r="981" spans="1:35" x14ac:dyDescent="0.25">
      <c r="A981" s="788"/>
      <c r="B981" s="788"/>
      <c r="C981" s="865" t="s">
        <v>168</v>
      </c>
      <c r="D981" s="311">
        <f>SUM(E981:I981)</f>
        <v>30000</v>
      </c>
      <c r="E981" s="1406"/>
      <c r="F981" s="1406"/>
      <c r="G981" s="311">
        <f>42000-12000</f>
        <v>30000</v>
      </c>
      <c r="H981" s="1274"/>
      <c r="I981" s="1274"/>
      <c r="J981" s="1274"/>
      <c r="K981" s="1274"/>
      <c r="L981" s="1274"/>
      <c r="M981" s="750">
        <f t="shared" si="37"/>
        <v>60000</v>
      </c>
      <c r="Q981" s="302">
        <v>0</v>
      </c>
      <c r="S981" s="1298"/>
      <c r="T981" s="302" t="b">
        <f>S981+R981=Q981</f>
        <v>1</v>
      </c>
      <c r="V981" s="1587" t="s">
        <v>168</v>
      </c>
      <c r="W981" s="1591">
        <f>X981+Y981+Z981</f>
        <v>30000</v>
      </c>
      <c r="X981" s="1591">
        <f t="shared" si="36"/>
        <v>0</v>
      </c>
      <c r="Y981" s="1591">
        <f>F981-S981</f>
        <v>0</v>
      </c>
      <c r="Z981" s="1591">
        <f>G981</f>
        <v>30000</v>
      </c>
      <c r="AA981" s="1591">
        <f>Z981+Y981+X981-W981</f>
        <v>0</v>
      </c>
      <c r="AB981" s="1591" t="b">
        <f>D981-Q981=W981</f>
        <v>1</v>
      </c>
      <c r="AD981" s="1729"/>
      <c r="AE981" s="1729"/>
      <c r="AF981" s="743"/>
      <c r="AG981" s="743"/>
      <c r="AH981" s="743"/>
      <c r="AI981" s="743"/>
    </row>
    <row r="982" spans="1:35" ht="109.15" customHeight="1" x14ac:dyDescent="0.25">
      <c r="A982" s="1741" t="s">
        <v>907</v>
      </c>
      <c r="B982" s="1738">
        <v>9770</v>
      </c>
      <c r="C982" s="1753" t="s">
        <v>305</v>
      </c>
      <c r="D982" s="1470">
        <f>SUM(D986:D1051)</f>
        <v>5100000</v>
      </c>
      <c r="E982" s="1744" t="s">
        <v>1174</v>
      </c>
      <c r="F982" s="1733" t="s">
        <v>2080</v>
      </c>
      <c r="G982" s="929"/>
      <c r="H982" s="1401"/>
      <c r="I982" s="966"/>
      <c r="J982" s="1401"/>
      <c r="K982" s="1401"/>
      <c r="L982" s="1204"/>
      <c r="M982" s="750">
        <f t="shared" si="37"/>
        <v>5100000</v>
      </c>
      <c r="AD982" s="743"/>
      <c r="AE982" s="743"/>
      <c r="AF982" s="743"/>
      <c r="AG982" s="743"/>
      <c r="AH982" s="743"/>
      <c r="AI982" s="743"/>
    </row>
    <row r="983" spans="1:35" ht="18.75" x14ac:dyDescent="0.25">
      <c r="A983" s="1742"/>
      <c r="B983" s="1739"/>
      <c r="C983" s="1754"/>
      <c r="D983" s="1471"/>
      <c r="E983" s="1745"/>
      <c r="F983" s="1734"/>
      <c r="G983" s="931"/>
      <c r="H983" s="1402"/>
      <c r="I983" s="1125"/>
      <c r="J983" s="1402"/>
      <c r="K983" s="1402"/>
      <c r="L983" s="1190"/>
      <c r="M983" s="750">
        <v>1</v>
      </c>
      <c r="AD983" s="743"/>
      <c r="AE983" s="743"/>
      <c r="AF983" s="743"/>
      <c r="AG983" s="743"/>
      <c r="AH983" s="743"/>
      <c r="AI983" s="743"/>
    </row>
    <row r="984" spans="1:35" ht="18.75" x14ac:dyDescent="0.25">
      <c r="A984" s="1742"/>
      <c r="B984" s="1739"/>
      <c r="C984" s="1754"/>
      <c r="D984" s="1471"/>
      <c r="E984" s="1745"/>
      <c r="F984" s="1734"/>
      <c r="G984" s="931"/>
      <c r="H984" s="1402"/>
      <c r="I984" s="1125"/>
      <c r="J984" s="1402"/>
      <c r="K984" s="1402"/>
      <c r="L984" s="1190"/>
      <c r="M984" s="750">
        <v>1</v>
      </c>
      <c r="AD984" s="743"/>
      <c r="AE984" s="743"/>
      <c r="AF984" s="743"/>
      <c r="AG984" s="743"/>
      <c r="AH984" s="743"/>
      <c r="AI984" s="743"/>
    </row>
    <row r="985" spans="1:35" ht="91.15" customHeight="1" x14ac:dyDescent="0.25">
      <c r="A985" s="1743"/>
      <c r="B985" s="1740"/>
      <c r="C985" s="1755"/>
      <c r="D985" s="1472"/>
      <c r="E985" s="1746"/>
      <c r="F985" s="1735"/>
      <c r="G985" s="931"/>
      <c r="H985" s="1402"/>
      <c r="I985" s="1125"/>
      <c r="J985" s="1402"/>
      <c r="K985" s="1402"/>
      <c r="L985" s="1190"/>
      <c r="M985" s="750">
        <v>1</v>
      </c>
      <c r="AD985" s="743"/>
      <c r="AE985" s="743"/>
      <c r="AF985" s="743"/>
      <c r="AG985" s="743"/>
      <c r="AH985" s="743"/>
      <c r="AI985" s="743"/>
    </row>
    <row r="986" spans="1:35" hidden="1" x14ac:dyDescent="0.25">
      <c r="A986" s="751" t="s">
        <v>526</v>
      </c>
      <c r="B986" s="751"/>
      <c r="C986" s="745" t="s">
        <v>1060</v>
      </c>
      <c r="D986" s="762"/>
      <c r="E986" s="1406"/>
      <c r="F986" s="1297"/>
      <c r="G986" s="1297"/>
      <c r="H986" s="1175"/>
      <c r="I986" s="1175"/>
      <c r="J986" s="1175"/>
      <c r="K986" s="1175"/>
      <c r="L986" s="1180"/>
      <c r="M986" s="750">
        <f t="shared" si="37"/>
        <v>0</v>
      </c>
      <c r="AD986" s="743"/>
      <c r="AE986" s="743"/>
      <c r="AF986" s="743"/>
      <c r="AG986" s="743"/>
      <c r="AH986" s="743"/>
      <c r="AI986" s="743"/>
    </row>
    <row r="987" spans="1:35" hidden="1" x14ac:dyDescent="0.25">
      <c r="A987" s="751" t="s">
        <v>527</v>
      </c>
      <c r="B987" s="751"/>
      <c r="C987" s="745" t="s">
        <v>1069</v>
      </c>
      <c r="D987" s="762"/>
      <c r="E987" s="1406"/>
      <c r="F987" s="1406"/>
      <c r="G987" s="1297"/>
      <c r="H987" s="1175"/>
      <c r="I987" s="1175"/>
      <c r="J987" s="1175"/>
      <c r="K987" s="1175"/>
      <c r="L987" s="1180"/>
      <c r="M987" s="750">
        <f t="shared" si="37"/>
        <v>0</v>
      </c>
      <c r="AD987" s="743"/>
      <c r="AE987" s="743"/>
      <c r="AF987" s="743"/>
      <c r="AG987" s="743"/>
      <c r="AH987" s="743"/>
      <c r="AI987" s="743"/>
    </row>
    <row r="988" spans="1:35" hidden="1" x14ac:dyDescent="0.25">
      <c r="A988" s="751" t="s">
        <v>528</v>
      </c>
      <c r="B988" s="751"/>
      <c r="C988" s="745" t="s">
        <v>1070</v>
      </c>
      <c r="D988" s="762"/>
      <c r="E988" s="1406"/>
      <c r="F988" s="1406"/>
      <c r="G988" s="1297"/>
      <c r="H988" s="1175"/>
      <c r="I988" s="1175"/>
      <c r="J988" s="1175"/>
      <c r="K988" s="1175"/>
      <c r="L988" s="1180"/>
      <c r="M988" s="750">
        <f t="shared" si="37"/>
        <v>0</v>
      </c>
      <c r="AD988" s="743"/>
      <c r="AE988" s="743"/>
      <c r="AF988" s="743"/>
      <c r="AG988" s="743"/>
      <c r="AH988" s="743"/>
      <c r="AI988" s="743"/>
    </row>
    <row r="989" spans="1:35" hidden="1" x14ac:dyDescent="0.25">
      <c r="A989" s="751" t="s">
        <v>529</v>
      </c>
      <c r="B989" s="751"/>
      <c r="C989" s="745" t="s">
        <v>1071</v>
      </c>
      <c r="D989" s="762"/>
      <c r="E989" s="1406"/>
      <c r="F989" s="1406"/>
      <c r="G989" s="1297"/>
      <c r="H989" s="1175"/>
      <c r="I989" s="1175"/>
      <c r="J989" s="1175"/>
      <c r="K989" s="1175"/>
      <c r="L989" s="1180"/>
      <c r="M989" s="750">
        <f t="shared" si="37"/>
        <v>0</v>
      </c>
      <c r="AD989" s="743"/>
      <c r="AE989" s="743"/>
      <c r="AF989" s="743"/>
      <c r="AG989" s="743"/>
      <c r="AH989" s="743"/>
      <c r="AI989" s="743"/>
    </row>
    <row r="990" spans="1:35" hidden="1" x14ac:dyDescent="0.25">
      <c r="A990" s="751" t="s">
        <v>530</v>
      </c>
      <c r="B990" s="751"/>
      <c r="C990" s="745" t="s">
        <v>1072</v>
      </c>
      <c r="D990" s="762"/>
      <c r="E990" s="1406"/>
      <c r="F990" s="1406"/>
      <c r="G990" s="1297"/>
      <c r="H990" s="1175"/>
      <c r="I990" s="1175"/>
      <c r="J990" s="1175"/>
      <c r="K990" s="1175"/>
      <c r="L990" s="1180"/>
      <c r="M990" s="750">
        <f t="shared" si="37"/>
        <v>0</v>
      </c>
      <c r="AD990" s="743"/>
      <c r="AE990" s="743"/>
      <c r="AF990" s="743"/>
      <c r="AG990" s="743"/>
      <c r="AH990" s="743"/>
      <c r="AI990" s="743"/>
    </row>
    <row r="991" spans="1:35" hidden="1" x14ac:dyDescent="0.25">
      <c r="A991" s="751" t="s">
        <v>531</v>
      </c>
      <c r="B991" s="751"/>
      <c r="C991" s="745" t="s">
        <v>1073</v>
      </c>
      <c r="D991" s="762"/>
      <c r="E991" s="1406"/>
      <c r="F991" s="1406"/>
      <c r="G991" s="1297"/>
      <c r="H991" s="1175"/>
      <c r="I991" s="1175"/>
      <c r="J991" s="1175"/>
      <c r="K991" s="1175"/>
      <c r="L991" s="1180"/>
      <c r="M991" s="750">
        <f t="shared" si="37"/>
        <v>0</v>
      </c>
      <c r="AD991" s="743"/>
      <c r="AE991" s="743"/>
      <c r="AF991" s="743"/>
      <c r="AG991" s="743"/>
      <c r="AH991" s="743"/>
      <c r="AI991" s="743"/>
    </row>
    <row r="992" spans="1:35" hidden="1" x14ac:dyDescent="0.25">
      <c r="A992" s="751" t="s">
        <v>532</v>
      </c>
      <c r="B992" s="751"/>
      <c r="C992" s="745" t="s">
        <v>1074</v>
      </c>
      <c r="D992" s="762"/>
      <c r="E992" s="1406"/>
      <c r="F992" s="1406"/>
      <c r="G992" s="1297"/>
      <c r="H992" s="1175"/>
      <c r="I992" s="1175"/>
      <c r="J992" s="1175"/>
      <c r="K992" s="1175"/>
      <c r="L992" s="1180"/>
      <c r="M992" s="750">
        <f t="shared" si="37"/>
        <v>0</v>
      </c>
      <c r="AD992" s="743"/>
      <c r="AE992" s="743"/>
      <c r="AF992" s="743"/>
      <c r="AG992" s="743"/>
      <c r="AH992" s="743"/>
      <c r="AI992" s="743"/>
    </row>
    <row r="993" spans="1:35" hidden="1" x14ac:dyDescent="0.25">
      <c r="A993" s="751" t="s">
        <v>533</v>
      </c>
      <c r="B993" s="751"/>
      <c r="C993" s="745" t="s">
        <v>1075</v>
      </c>
      <c r="D993" s="762"/>
      <c r="E993" s="1406"/>
      <c r="F993" s="1406"/>
      <c r="G993" s="1297"/>
      <c r="H993" s="1175"/>
      <c r="I993" s="1175"/>
      <c r="J993" s="1175"/>
      <c r="K993" s="1175"/>
      <c r="L993" s="1180"/>
      <c r="M993" s="750">
        <f t="shared" si="37"/>
        <v>0</v>
      </c>
      <c r="AD993" s="743"/>
      <c r="AE993" s="743"/>
      <c r="AF993" s="743"/>
      <c r="AG993" s="743"/>
      <c r="AH993" s="743"/>
      <c r="AI993" s="743"/>
    </row>
    <row r="994" spans="1:35" hidden="1" x14ac:dyDescent="0.25">
      <c r="A994" s="751" t="s">
        <v>534</v>
      </c>
      <c r="B994" s="751"/>
      <c r="C994" s="745" t="s">
        <v>1076</v>
      </c>
      <c r="D994" s="762"/>
      <c r="E994" s="1406"/>
      <c r="F994" s="1406"/>
      <c r="G994" s="1297"/>
      <c r="H994" s="1175"/>
      <c r="I994" s="1175"/>
      <c r="J994" s="1175"/>
      <c r="K994" s="1175"/>
      <c r="L994" s="1180"/>
      <c r="M994" s="750">
        <f t="shared" si="37"/>
        <v>0</v>
      </c>
      <c r="AD994" s="743"/>
      <c r="AE994" s="743"/>
      <c r="AF994" s="743"/>
      <c r="AG994" s="743"/>
      <c r="AH994" s="743"/>
      <c r="AI994" s="743"/>
    </row>
    <row r="995" spans="1:35" hidden="1" x14ac:dyDescent="0.25">
      <c r="A995" s="751" t="s">
        <v>535</v>
      </c>
      <c r="B995" s="751"/>
      <c r="C995" s="745" t="s">
        <v>1077</v>
      </c>
      <c r="D995" s="762"/>
      <c r="E995" s="1406"/>
      <c r="F995" s="1406"/>
      <c r="G995" s="1297"/>
      <c r="H995" s="1175"/>
      <c r="I995" s="1175"/>
      <c r="J995" s="1175"/>
      <c r="K995" s="1175"/>
      <c r="L995" s="1180"/>
      <c r="M995" s="750">
        <f t="shared" si="37"/>
        <v>0</v>
      </c>
      <c r="AD995" s="743"/>
      <c r="AE995" s="743"/>
      <c r="AF995" s="743"/>
      <c r="AG995" s="743"/>
      <c r="AH995" s="743"/>
      <c r="AI995" s="743"/>
    </row>
    <row r="996" spans="1:35" hidden="1" x14ac:dyDescent="0.25">
      <c r="A996" s="751" t="s">
        <v>536</v>
      </c>
      <c r="B996" s="751"/>
      <c r="C996" s="745" t="s">
        <v>1078</v>
      </c>
      <c r="D996" s="762"/>
      <c r="E996" s="1406"/>
      <c r="F996" s="1406"/>
      <c r="G996" s="1297"/>
      <c r="H996" s="1175"/>
      <c r="I996" s="1175"/>
      <c r="J996" s="1175"/>
      <c r="K996" s="1175"/>
      <c r="L996" s="1180"/>
      <c r="M996" s="750">
        <f t="shared" si="37"/>
        <v>0</v>
      </c>
      <c r="AD996" s="743"/>
      <c r="AE996" s="743"/>
      <c r="AF996" s="743"/>
      <c r="AG996" s="743"/>
      <c r="AH996" s="743"/>
      <c r="AI996" s="743"/>
    </row>
    <row r="997" spans="1:35" hidden="1" x14ac:dyDescent="0.25">
      <c r="A997" s="751" t="s">
        <v>537</v>
      </c>
      <c r="B997" s="751"/>
      <c r="C997" s="745" t="s">
        <v>1079</v>
      </c>
      <c r="D997" s="762"/>
      <c r="E997" s="1406"/>
      <c r="F997" s="1406"/>
      <c r="G997" s="1297"/>
      <c r="H997" s="1175"/>
      <c r="I997" s="1175"/>
      <c r="J997" s="1175"/>
      <c r="K997" s="1175"/>
      <c r="L997" s="1180"/>
      <c r="M997" s="750">
        <f t="shared" si="37"/>
        <v>0</v>
      </c>
      <c r="AD997" s="743"/>
      <c r="AE997" s="743"/>
      <c r="AF997" s="743"/>
      <c r="AG997" s="743"/>
      <c r="AH997" s="743"/>
      <c r="AI997" s="743"/>
    </row>
    <row r="998" spans="1:35" hidden="1" x14ac:dyDescent="0.25">
      <c r="A998" s="751" t="s">
        <v>538</v>
      </c>
      <c r="B998" s="751"/>
      <c r="C998" s="745" t="s">
        <v>1080</v>
      </c>
      <c r="D998" s="762"/>
      <c r="E998" s="1406"/>
      <c r="F998" s="1406"/>
      <c r="G998" s="1297"/>
      <c r="H998" s="1175"/>
      <c r="I998" s="1175"/>
      <c r="J998" s="1175"/>
      <c r="K998" s="1175"/>
      <c r="L998" s="1180"/>
      <c r="M998" s="750">
        <f t="shared" si="37"/>
        <v>0</v>
      </c>
      <c r="AD998" s="743"/>
      <c r="AE998" s="743"/>
      <c r="AF998" s="743"/>
      <c r="AG998" s="743"/>
      <c r="AH998" s="743"/>
      <c r="AI998" s="743"/>
    </row>
    <row r="999" spans="1:35" hidden="1" x14ac:dyDescent="0.25">
      <c r="A999" s="751" t="s">
        <v>539</v>
      </c>
      <c r="B999" s="751"/>
      <c r="C999" s="745" t="s">
        <v>1081</v>
      </c>
      <c r="D999" s="762"/>
      <c r="E999" s="1406"/>
      <c r="F999" s="1406"/>
      <c r="G999" s="1297"/>
      <c r="H999" s="1175"/>
      <c r="I999" s="1175"/>
      <c r="J999" s="1175"/>
      <c r="K999" s="1175"/>
      <c r="L999" s="1180"/>
      <c r="M999" s="750">
        <f t="shared" si="37"/>
        <v>0</v>
      </c>
      <c r="AD999" s="743"/>
      <c r="AE999" s="743"/>
      <c r="AF999" s="743"/>
      <c r="AG999" s="743"/>
      <c r="AH999" s="743"/>
      <c r="AI999" s="743"/>
    </row>
    <row r="1000" spans="1:35" hidden="1" x14ac:dyDescent="0.25">
      <c r="A1000" s="751" t="s">
        <v>540</v>
      </c>
      <c r="B1000" s="751"/>
      <c r="C1000" s="745" t="s">
        <v>1082</v>
      </c>
      <c r="D1000" s="762"/>
      <c r="E1000" s="1406"/>
      <c r="F1000" s="1406"/>
      <c r="G1000" s="1297"/>
      <c r="H1000" s="1175"/>
      <c r="I1000" s="1175"/>
      <c r="J1000" s="1175"/>
      <c r="K1000" s="1175"/>
      <c r="L1000" s="1180"/>
      <c r="M1000" s="750">
        <f t="shared" si="37"/>
        <v>0</v>
      </c>
      <c r="AD1000" s="743"/>
      <c r="AE1000" s="743"/>
      <c r="AF1000" s="743"/>
      <c r="AG1000" s="743"/>
      <c r="AH1000" s="743"/>
      <c r="AI1000" s="743"/>
    </row>
    <row r="1001" spans="1:35" hidden="1" x14ac:dyDescent="0.25">
      <c r="A1001" s="751" t="s">
        <v>541</v>
      </c>
      <c r="B1001" s="751"/>
      <c r="C1001" s="745" t="s">
        <v>1083</v>
      </c>
      <c r="D1001" s="762"/>
      <c r="E1001" s="1406"/>
      <c r="F1001" s="1406"/>
      <c r="G1001" s="1297"/>
      <c r="H1001" s="1175"/>
      <c r="I1001" s="1175"/>
      <c r="J1001" s="1175"/>
      <c r="K1001" s="1175"/>
      <c r="L1001" s="1180"/>
      <c r="M1001" s="750">
        <f t="shared" si="37"/>
        <v>0</v>
      </c>
      <c r="AD1001" s="743"/>
      <c r="AE1001" s="743"/>
      <c r="AF1001" s="743"/>
      <c r="AG1001" s="743"/>
      <c r="AH1001" s="743"/>
      <c r="AI1001" s="743"/>
    </row>
    <row r="1002" spans="1:35" hidden="1" x14ac:dyDescent="0.25">
      <c r="A1002" s="751" t="s">
        <v>542</v>
      </c>
      <c r="B1002" s="751"/>
      <c r="C1002" s="745" t="s">
        <v>1084</v>
      </c>
      <c r="D1002" s="762"/>
      <c r="E1002" s="1406"/>
      <c r="F1002" s="1406"/>
      <c r="G1002" s="1297"/>
      <c r="H1002" s="1175"/>
      <c r="I1002" s="1175"/>
      <c r="J1002" s="1175"/>
      <c r="K1002" s="1175"/>
      <c r="L1002" s="1180"/>
      <c r="M1002" s="750">
        <f t="shared" si="37"/>
        <v>0</v>
      </c>
      <c r="AD1002" s="743"/>
      <c r="AE1002" s="743"/>
      <c r="AF1002" s="743"/>
      <c r="AG1002" s="743"/>
      <c r="AH1002" s="743"/>
      <c r="AI1002" s="743"/>
    </row>
    <row r="1003" spans="1:35" hidden="1" x14ac:dyDescent="0.25">
      <c r="A1003" s="751" t="s">
        <v>543</v>
      </c>
      <c r="B1003" s="751"/>
      <c r="C1003" s="745" t="s">
        <v>1085</v>
      </c>
      <c r="D1003" s="762"/>
      <c r="E1003" s="1406"/>
      <c r="F1003" s="1406"/>
      <c r="G1003" s="1297"/>
      <c r="H1003" s="1175"/>
      <c r="I1003" s="1175"/>
      <c r="J1003" s="1175"/>
      <c r="K1003" s="1175"/>
      <c r="L1003" s="1180"/>
      <c r="M1003" s="750">
        <f t="shared" si="37"/>
        <v>0</v>
      </c>
      <c r="AD1003" s="743"/>
      <c r="AE1003" s="743"/>
      <c r="AF1003" s="743"/>
      <c r="AG1003" s="743"/>
      <c r="AH1003" s="743"/>
      <c r="AI1003" s="743"/>
    </row>
    <row r="1004" spans="1:35" hidden="1" x14ac:dyDescent="0.25">
      <c r="A1004" s="751" t="s">
        <v>544</v>
      </c>
      <c r="B1004" s="751"/>
      <c r="C1004" s="745" t="s">
        <v>1086</v>
      </c>
      <c r="D1004" s="762"/>
      <c r="E1004" s="1406"/>
      <c r="F1004" s="1406"/>
      <c r="G1004" s="1297"/>
      <c r="H1004" s="1175"/>
      <c r="I1004" s="1175"/>
      <c r="J1004" s="1175"/>
      <c r="K1004" s="1175"/>
      <c r="L1004" s="1180"/>
      <c r="M1004" s="750">
        <f t="shared" si="37"/>
        <v>0</v>
      </c>
      <c r="AD1004" s="743"/>
      <c r="AE1004" s="743"/>
      <c r="AF1004" s="743"/>
      <c r="AG1004" s="743"/>
      <c r="AH1004" s="743"/>
      <c r="AI1004" s="743"/>
    </row>
    <row r="1005" spans="1:35" hidden="1" x14ac:dyDescent="0.25">
      <c r="A1005" s="751" t="s">
        <v>545</v>
      </c>
      <c r="B1005" s="751"/>
      <c r="C1005" s="745" t="s">
        <v>1087</v>
      </c>
      <c r="D1005" s="762"/>
      <c r="E1005" s="1406"/>
      <c r="F1005" s="1406"/>
      <c r="G1005" s="1297"/>
      <c r="H1005" s="1175"/>
      <c r="I1005" s="1175"/>
      <c r="J1005" s="1175"/>
      <c r="K1005" s="1175"/>
      <c r="L1005" s="1180"/>
      <c r="M1005" s="750">
        <f t="shared" si="37"/>
        <v>0</v>
      </c>
      <c r="AD1005" s="743"/>
      <c r="AE1005" s="743"/>
      <c r="AF1005" s="743"/>
      <c r="AG1005" s="743"/>
      <c r="AH1005" s="743"/>
      <c r="AI1005" s="743"/>
    </row>
    <row r="1006" spans="1:35" hidden="1" x14ac:dyDescent="0.25">
      <c r="A1006" s="751" t="s">
        <v>546</v>
      </c>
      <c r="B1006" s="751"/>
      <c r="C1006" s="745" t="s">
        <v>1088</v>
      </c>
      <c r="D1006" s="762"/>
      <c r="E1006" s="1406"/>
      <c r="F1006" s="1406"/>
      <c r="G1006" s="1297"/>
      <c r="H1006" s="1175"/>
      <c r="I1006" s="1175"/>
      <c r="J1006" s="1175"/>
      <c r="K1006" s="1175"/>
      <c r="L1006" s="1180"/>
      <c r="M1006" s="750">
        <f t="shared" si="37"/>
        <v>0</v>
      </c>
      <c r="AD1006" s="743"/>
      <c r="AE1006" s="743"/>
      <c r="AF1006" s="743"/>
      <c r="AG1006" s="743"/>
      <c r="AH1006" s="743"/>
      <c r="AI1006" s="743"/>
    </row>
    <row r="1007" spans="1:35" hidden="1" x14ac:dyDescent="0.25">
      <c r="A1007" s="751" t="s">
        <v>547</v>
      </c>
      <c r="B1007" s="751"/>
      <c r="C1007" s="745" t="s">
        <v>1089</v>
      </c>
      <c r="D1007" s="762"/>
      <c r="E1007" s="1406"/>
      <c r="F1007" s="1406"/>
      <c r="G1007" s="1297"/>
      <c r="H1007" s="1175"/>
      <c r="I1007" s="1175"/>
      <c r="J1007" s="1175"/>
      <c r="K1007" s="1175"/>
      <c r="L1007" s="1180"/>
      <c r="M1007" s="750">
        <f t="shared" si="37"/>
        <v>0</v>
      </c>
      <c r="AD1007" s="743"/>
      <c r="AE1007" s="743"/>
      <c r="AF1007" s="743"/>
      <c r="AG1007" s="743"/>
      <c r="AH1007" s="743"/>
      <c r="AI1007" s="743"/>
    </row>
    <row r="1008" spans="1:35" hidden="1" x14ac:dyDescent="0.25">
      <c r="A1008" s="751" t="s">
        <v>548</v>
      </c>
      <c r="B1008" s="751"/>
      <c r="C1008" s="745" t="s">
        <v>1090</v>
      </c>
      <c r="D1008" s="762"/>
      <c r="E1008" s="1406"/>
      <c r="F1008" s="1406"/>
      <c r="G1008" s="1297"/>
      <c r="H1008" s="1175"/>
      <c r="I1008" s="1175"/>
      <c r="J1008" s="1175"/>
      <c r="K1008" s="1175"/>
      <c r="L1008" s="1180"/>
      <c r="M1008" s="750">
        <f t="shared" si="37"/>
        <v>0</v>
      </c>
      <c r="AD1008" s="743"/>
      <c r="AE1008" s="743"/>
      <c r="AF1008" s="743"/>
      <c r="AG1008" s="743"/>
      <c r="AH1008" s="743"/>
      <c r="AI1008" s="743"/>
    </row>
    <row r="1009" spans="1:35" hidden="1" x14ac:dyDescent="0.25">
      <c r="A1009" s="751" t="s">
        <v>549</v>
      </c>
      <c r="B1009" s="751"/>
      <c r="C1009" s="745" t="s">
        <v>1091</v>
      </c>
      <c r="D1009" s="762"/>
      <c r="E1009" s="1406"/>
      <c r="F1009" s="1406"/>
      <c r="G1009" s="1297"/>
      <c r="H1009" s="1175"/>
      <c r="I1009" s="1175"/>
      <c r="J1009" s="1175"/>
      <c r="K1009" s="1175"/>
      <c r="L1009" s="1180"/>
      <c r="M1009" s="750">
        <f t="shared" si="37"/>
        <v>0</v>
      </c>
      <c r="AD1009" s="743"/>
      <c r="AE1009" s="743"/>
      <c r="AF1009" s="743"/>
      <c r="AG1009" s="743"/>
      <c r="AH1009" s="743"/>
      <c r="AI1009" s="743"/>
    </row>
    <row r="1010" spans="1:35" hidden="1" x14ac:dyDescent="0.25">
      <c r="A1010" s="751" t="s">
        <v>550</v>
      </c>
      <c r="B1010" s="751"/>
      <c r="C1010" s="745" t="s">
        <v>1092</v>
      </c>
      <c r="D1010" s="762"/>
      <c r="E1010" s="1406"/>
      <c r="F1010" s="1406"/>
      <c r="G1010" s="1297"/>
      <c r="H1010" s="1175"/>
      <c r="I1010" s="1175"/>
      <c r="J1010" s="1175"/>
      <c r="K1010" s="1175"/>
      <c r="L1010" s="1180"/>
      <c r="M1010" s="750">
        <f t="shared" si="37"/>
        <v>0</v>
      </c>
      <c r="AD1010" s="743"/>
      <c r="AE1010" s="743"/>
      <c r="AF1010" s="743"/>
      <c r="AG1010" s="743"/>
      <c r="AH1010" s="743"/>
      <c r="AI1010" s="743"/>
    </row>
    <row r="1011" spans="1:35" hidden="1" x14ac:dyDescent="0.25">
      <c r="A1011" s="751" t="s">
        <v>551</v>
      </c>
      <c r="B1011" s="751"/>
      <c r="C1011" s="745" t="s">
        <v>1093</v>
      </c>
      <c r="D1011" s="762"/>
      <c r="E1011" s="1406"/>
      <c r="F1011" s="1406"/>
      <c r="G1011" s="1297"/>
      <c r="H1011" s="1175"/>
      <c r="I1011" s="1175"/>
      <c r="J1011" s="1175"/>
      <c r="K1011" s="1175"/>
      <c r="L1011" s="1180"/>
      <c r="M1011" s="750">
        <f t="shared" si="37"/>
        <v>0</v>
      </c>
      <c r="AD1011" s="743"/>
      <c r="AE1011" s="743"/>
      <c r="AF1011" s="743"/>
      <c r="AG1011" s="743"/>
      <c r="AH1011" s="743"/>
      <c r="AI1011" s="743"/>
    </row>
    <row r="1012" spans="1:35" hidden="1" x14ac:dyDescent="0.25">
      <c r="A1012" s="751" t="s">
        <v>552</v>
      </c>
      <c r="B1012" s="751"/>
      <c r="C1012" s="745" t="s">
        <v>1094</v>
      </c>
      <c r="D1012" s="762"/>
      <c r="E1012" s="1406"/>
      <c r="F1012" s="1406"/>
      <c r="G1012" s="1297"/>
      <c r="H1012" s="1175"/>
      <c r="I1012" s="1175"/>
      <c r="J1012" s="1175"/>
      <c r="K1012" s="1175"/>
      <c r="L1012" s="1180"/>
      <c r="M1012" s="750">
        <f t="shared" si="37"/>
        <v>0</v>
      </c>
      <c r="AD1012" s="743"/>
      <c r="AE1012" s="743"/>
      <c r="AF1012" s="743"/>
      <c r="AG1012" s="743"/>
      <c r="AH1012" s="743"/>
      <c r="AI1012" s="743"/>
    </row>
    <row r="1013" spans="1:35" hidden="1" x14ac:dyDescent="0.25">
      <c r="A1013" s="751" t="s">
        <v>553</v>
      </c>
      <c r="B1013" s="751"/>
      <c r="C1013" s="745" t="s">
        <v>1095</v>
      </c>
      <c r="D1013" s="762"/>
      <c r="E1013" s="1406"/>
      <c r="F1013" s="1406"/>
      <c r="G1013" s="1297"/>
      <c r="H1013" s="1175"/>
      <c r="I1013" s="1175"/>
      <c r="J1013" s="1175"/>
      <c r="K1013" s="1175"/>
      <c r="L1013" s="1180"/>
      <c r="M1013" s="750">
        <f t="shared" si="37"/>
        <v>0</v>
      </c>
      <c r="AD1013" s="743"/>
      <c r="AE1013" s="743"/>
      <c r="AF1013" s="743"/>
      <c r="AG1013" s="743"/>
      <c r="AH1013" s="743"/>
      <c r="AI1013" s="743"/>
    </row>
    <row r="1014" spans="1:35" hidden="1" x14ac:dyDescent="0.25">
      <c r="A1014" s="751" t="s">
        <v>554</v>
      </c>
      <c r="B1014" s="751"/>
      <c r="C1014" s="745" t="s">
        <v>1096</v>
      </c>
      <c r="D1014" s="762"/>
      <c r="E1014" s="1406"/>
      <c r="F1014" s="1406"/>
      <c r="G1014" s="1297"/>
      <c r="H1014" s="1175"/>
      <c r="I1014" s="1175"/>
      <c r="J1014" s="1175"/>
      <c r="K1014" s="1175"/>
      <c r="L1014" s="1180"/>
      <c r="M1014" s="750">
        <f t="shared" si="37"/>
        <v>0</v>
      </c>
      <c r="AD1014" s="743"/>
      <c r="AE1014" s="743"/>
      <c r="AF1014" s="743"/>
      <c r="AG1014" s="743"/>
      <c r="AH1014" s="743"/>
      <c r="AI1014" s="743"/>
    </row>
    <row r="1015" spans="1:35" hidden="1" x14ac:dyDescent="0.25">
      <c r="A1015" s="751" t="s">
        <v>555</v>
      </c>
      <c r="B1015" s="751"/>
      <c r="C1015" s="745" t="s">
        <v>1097</v>
      </c>
      <c r="D1015" s="762"/>
      <c r="E1015" s="1406"/>
      <c r="F1015" s="1406"/>
      <c r="G1015" s="1297"/>
      <c r="H1015" s="1175"/>
      <c r="I1015" s="1175"/>
      <c r="J1015" s="1175"/>
      <c r="K1015" s="1175"/>
      <c r="L1015" s="1180"/>
      <c r="M1015" s="750">
        <f t="shared" si="37"/>
        <v>0</v>
      </c>
      <c r="AD1015" s="743"/>
      <c r="AE1015" s="743"/>
      <c r="AF1015" s="743"/>
      <c r="AG1015" s="743"/>
      <c r="AH1015" s="743"/>
      <c r="AI1015" s="743"/>
    </row>
    <row r="1016" spans="1:35" hidden="1" x14ac:dyDescent="0.25">
      <c r="A1016" s="751" t="s">
        <v>556</v>
      </c>
      <c r="B1016" s="751"/>
      <c r="C1016" s="745" t="s">
        <v>1098</v>
      </c>
      <c r="D1016" s="762"/>
      <c r="E1016" s="1406"/>
      <c r="F1016" s="1406"/>
      <c r="G1016" s="1297"/>
      <c r="H1016" s="1175"/>
      <c r="I1016" s="1175"/>
      <c r="J1016" s="1175"/>
      <c r="K1016" s="1175"/>
      <c r="L1016" s="1180"/>
      <c r="M1016" s="750">
        <f t="shared" si="37"/>
        <v>0</v>
      </c>
      <c r="AD1016" s="743"/>
      <c r="AE1016" s="743"/>
      <c r="AF1016" s="743"/>
      <c r="AG1016" s="743"/>
      <c r="AH1016" s="743"/>
      <c r="AI1016" s="743"/>
    </row>
    <row r="1017" spans="1:35" hidden="1" x14ac:dyDescent="0.25">
      <c r="A1017" s="751" t="s">
        <v>557</v>
      </c>
      <c r="B1017" s="751"/>
      <c r="C1017" s="745" t="s">
        <v>1099</v>
      </c>
      <c r="D1017" s="762"/>
      <c r="E1017" s="1406"/>
      <c r="F1017" s="1406"/>
      <c r="G1017" s="1297"/>
      <c r="H1017" s="1175"/>
      <c r="I1017" s="1175"/>
      <c r="J1017" s="1175"/>
      <c r="K1017" s="1175"/>
      <c r="L1017" s="1180"/>
      <c r="M1017" s="750">
        <f t="shared" si="37"/>
        <v>0</v>
      </c>
      <c r="AD1017" s="743"/>
      <c r="AE1017" s="743"/>
      <c r="AF1017" s="743"/>
      <c r="AG1017" s="743"/>
      <c r="AH1017" s="743"/>
      <c r="AI1017" s="743"/>
    </row>
    <row r="1018" spans="1:35" hidden="1" x14ac:dyDescent="0.25">
      <c r="A1018" s="751" t="s">
        <v>558</v>
      </c>
      <c r="B1018" s="751"/>
      <c r="C1018" s="745" t="s">
        <v>1100</v>
      </c>
      <c r="D1018" s="762"/>
      <c r="E1018" s="1406"/>
      <c r="F1018" s="1406"/>
      <c r="G1018" s="1297"/>
      <c r="H1018" s="1175"/>
      <c r="I1018" s="1175"/>
      <c r="J1018" s="1175"/>
      <c r="K1018" s="1175"/>
      <c r="L1018" s="1180"/>
      <c r="M1018" s="750">
        <f t="shared" si="37"/>
        <v>0</v>
      </c>
      <c r="AD1018" s="743"/>
      <c r="AE1018" s="743"/>
      <c r="AF1018" s="743"/>
      <c r="AG1018" s="743"/>
      <c r="AH1018" s="743"/>
      <c r="AI1018" s="743"/>
    </row>
    <row r="1019" spans="1:35" hidden="1" x14ac:dyDescent="0.25">
      <c r="A1019" s="751" t="s">
        <v>559</v>
      </c>
      <c r="B1019" s="751"/>
      <c r="C1019" s="745" t="s">
        <v>1101</v>
      </c>
      <c r="D1019" s="762"/>
      <c r="E1019" s="1406"/>
      <c r="F1019" s="1406"/>
      <c r="G1019" s="1297"/>
      <c r="H1019" s="1175"/>
      <c r="I1019" s="1175"/>
      <c r="J1019" s="1175"/>
      <c r="K1019" s="1175"/>
      <c r="L1019" s="1180"/>
      <c r="M1019" s="750">
        <f t="shared" si="37"/>
        <v>0</v>
      </c>
      <c r="AD1019" s="743"/>
      <c r="AE1019" s="743"/>
      <c r="AF1019" s="743"/>
      <c r="AG1019" s="743"/>
      <c r="AH1019" s="743"/>
      <c r="AI1019" s="743"/>
    </row>
    <row r="1020" spans="1:35" hidden="1" x14ac:dyDescent="0.25">
      <c r="A1020" s="751" t="s">
        <v>560</v>
      </c>
      <c r="B1020" s="751"/>
      <c r="C1020" s="745" t="s">
        <v>1102</v>
      </c>
      <c r="D1020" s="762"/>
      <c r="E1020" s="1406"/>
      <c r="F1020" s="1406"/>
      <c r="G1020" s="1297"/>
      <c r="H1020" s="1175"/>
      <c r="I1020" s="1175"/>
      <c r="J1020" s="1175"/>
      <c r="K1020" s="1175"/>
      <c r="L1020" s="1180"/>
      <c r="M1020" s="750">
        <f t="shared" si="37"/>
        <v>0</v>
      </c>
      <c r="AD1020" s="743"/>
      <c r="AE1020" s="743"/>
      <c r="AF1020" s="743"/>
      <c r="AG1020" s="743"/>
      <c r="AH1020" s="743"/>
      <c r="AI1020" s="743"/>
    </row>
    <row r="1021" spans="1:35" hidden="1" x14ac:dyDescent="0.25">
      <c r="A1021" s="751" t="s">
        <v>561</v>
      </c>
      <c r="B1021" s="751"/>
      <c r="C1021" s="745" t="s">
        <v>1103</v>
      </c>
      <c r="D1021" s="762"/>
      <c r="E1021" s="1406"/>
      <c r="F1021" s="1406"/>
      <c r="G1021" s="1297"/>
      <c r="H1021" s="1175"/>
      <c r="I1021" s="1175"/>
      <c r="J1021" s="1175"/>
      <c r="K1021" s="1175"/>
      <c r="L1021" s="1180"/>
      <c r="M1021" s="750">
        <f t="shared" si="37"/>
        <v>0</v>
      </c>
      <c r="AD1021" s="743"/>
      <c r="AE1021" s="743"/>
      <c r="AF1021" s="743"/>
      <c r="AG1021" s="743"/>
      <c r="AH1021" s="743"/>
      <c r="AI1021" s="743"/>
    </row>
    <row r="1022" spans="1:35" hidden="1" x14ac:dyDescent="0.25">
      <c r="A1022" s="751" t="s">
        <v>562</v>
      </c>
      <c r="B1022" s="751"/>
      <c r="C1022" s="745" t="s">
        <v>1104</v>
      </c>
      <c r="D1022" s="762"/>
      <c r="E1022" s="1406"/>
      <c r="F1022" s="1406"/>
      <c r="G1022" s="1297"/>
      <c r="H1022" s="1175"/>
      <c r="I1022" s="1175"/>
      <c r="J1022" s="1175"/>
      <c r="K1022" s="1175"/>
      <c r="L1022" s="1180"/>
      <c r="M1022" s="750">
        <f t="shared" si="37"/>
        <v>0</v>
      </c>
      <c r="AD1022" s="743"/>
      <c r="AE1022" s="743"/>
      <c r="AF1022" s="743"/>
      <c r="AG1022" s="743"/>
      <c r="AH1022" s="743"/>
      <c r="AI1022" s="743"/>
    </row>
    <row r="1023" spans="1:35" hidden="1" x14ac:dyDescent="0.25">
      <c r="A1023" s="751" t="s">
        <v>563</v>
      </c>
      <c r="B1023" s="751"/>
      <c r="C1023" s="745" t="s">
        <v>1105</v>
      </c>
      <c r="D1023" s="762"/>
      <c r="E1023" s="1406"/>
      <c r="F1023" s="1406"/>
      <c r="G1023" s="1297"/>
      <c r="H1023" s="1175"/>
      <c r="I1023" s="1175"/>
      <c r="J1023" s="1175"/>
      <c r="K1023" s="1175"/>
      <c r="L1023" s="1180"/>
      <c r="M1023" s="750">
        <f t="shared" si="37"/>
        <v>0</v>
      </c>
      <c r="AD1023" s="743"/>
      <c r="AE1023" s="743"/>
      <c r="AF1023" s="743"/>
      <c r="AG1023" s="743"/>
      <c r="AH1023" s="743"/>
      <c r="AI1023" s="743"/>
    </row>
    <row r="1024" spans="1:35" hidden="1" x14ac:dyDescent="0.25">
      <c r="A1024" s="751" t="s">
        <v>564</v>
      </c>
      <c r="B1024" s="751"/>
      <c r="C1024" s="745" t="s">
        <v>1106</v>
      </c>
      <c r="D1024" s="762"/>
      <c r="E1024" s="1406"/>
      <c r="F1024" s="1406"/>
      <c r="G1024" s="1297"/>
      <c r="H1024" s="1175"/>
      <c r="I1024" s="1175"/>
      <c r="J1024" s="1175"/>
      <c r="K1024" s="1175"/>
      <c r="L1024" s="1180"/>
      <c r="M1024" s="750">
        <f t="shared" si="37"/>
        <v>0</v>
      </c>
      <c r="AD1024" s="743"/>
      <c r="AE1024" s="743"/>
      <c r="AF1024" s="743"/>
      <c r="AG1024" s="743"/>
      <c r="AH1024" s="743"/>
      <c r="AI1024" s="743"/>
    </row>
    <row r="1025" spans="1:35" hidden="1" x14ac:dyDescent="0.25">
      <c r="A1025" s="751" t="s">
        <v>565</v>
      </c>
      <c r="B1025" s="751"/>
      <c r="C1025" s="745" t="s">
        <v>1107</v>
      </c>
      <c r="D1025" s="762"/>
      <c r="E1025" s="1406"/>
      <c r="F1025" s="1406"/>
      <c r="G1025" s="1297"/>
      <c r="H1025" s="1175"/>
      <c r="I1025" s="1175"/>
      <c r="J1025" s="1175"/>
      <c r="K1025" s="1175"/>
      <c r="L1025" s="1180"/>
      <c r="M1025" s="750">
        <f t="shared" si="37"/>
        <v>0</v>
      </c>
      <c r="AD1025" s="743"/>
      <c r="AE1025" s="743"/>
      <c r="AF1025" s="743"/>
      <c r="AG1025" s="743"/>
      <c r="AH1025" s="743"/>
      <c r="AI1025" s="743"/>
    </row>
    <row r="1026" spans="1:35" hidden="1" x14ac:dyDescent="0.25">
      <c r="A1026" s="751" t="s">
        <v>566</v>
      </c>
      <c r="B1026" s="751"/>
      <c r="C1026" s="745" t="s">
        <v>1108</v>
      </c>
      <c r="D1026" s="762"/>
      <c r="E1026" s="1406"/>
      <c r="F1026" s="1406"/>
      <c r="G1026" s="1297"/>
      <c r="H1026" s="1175"/>
      <c r="I1026" s="1175"/>
      <c r="J1026" s="1175"/>
      <c r="K1026" s="1175"/>
      <c r="L1026" s="1180"/>
      <c r="M1026" s="750">
        <f t="shared" si="37"/>
        <v>0</v>
      </c>
      <c r="AD1026" s="743"/>
      <c r="AE1026" s="743"/>
      <c r="AF1026" s="743"/>
      <c r="AG1026" s="743"/>
      <c r="AH1026" s="743"/>
      <c r="AI1026" s="743"/>
    </row>
    <row r="1027" spans="1:35" hidden="1" x14ac:dyDescent="0.25">
      <c r="A1027" s="751" t="s">
        <v>567</v>
      </c>
      <c r="B1027" s="751"/>
      <c r="C1027" s="745" t="s">
        <v>1109</v>
      </c>
      <c r="D1027" s="762"/>
      <c r="E1027" s="1406"/>
      <c r="F1027" s="1406"/>
      <c r="G1027" s="1297"/>
      <c r="H1027" s="1175"/>
      <c r="I1027" s="1175"/>
      <c r="J1027" s="1175"/>
      <c r="K1027" s="1175"/>
      <c r="L1027" s="1180"/>
      <c r="M1027" s="750">
        <f t="shared" si="37"/>
        <v>0</v>
      </c>
      <c r="AD1027" s="743"/>
      <c r="AE1027" s="743"/>
      <c r="AF1027" s="743"/>
      <c r="AG1027" s="743"/>
      <c r="AH1027" s="743"/>
      <c r="AI1027" s="743"/>
    </row>
    <row r="1028" spans="1:35" hidden="1" x14ac:dyDescent="0.25">
      <c r="A1028" s="751" t="s">
        <v>780</v>
      </c>
      <c r="B1028" s="751"/>
      <c r="C1028" s="745" t="s">
        <v>1110</v>
      </c>
      <c r="D1028" s="762"/>
      <c r="E1028" s="1406"/>
      <c r="F1028" s="1406"/>
      <c r="G1028" s="1297"/>
      <c r="H1028" s="1175"/>
      <c r="I1028" s="1175"/>
      <c r="J1028" s="1175"/>
      <c r="K1028" s="1175"/>
      <c r="L1028" s="1180"/>
      <c r="M1028" s="750">
        <f t="shared" si="37"/>
        <v>0</v>
      </c>
      <c r="AD1028" s="743"/>
      <c r="AE1028" s="743"/>
      <c r="AF1028" s="743"/>
      <c r="AG1028" s="743"/>
      <c r="AH1028" s="743"/>
      <c r="AI1028" s="743"/>
    </row>
    <row r="1029" spans="1:35" hidden="1" x14ac:dyDescent="0.25">
      <c r="A1029" s="751" t="s">
        <v>781</v>
      </c>
      <c r="B1029" s="751"/>
      <c r="C1029" s="745" t="s">
        <v>1111</v>
      </c>
      <c r="D1029" s="762"/>
      <c r="E1029" s="1406"/>
      <c r="F1029" s="1406"/>
      <c r="G1029" s="1297"/>
      <c r="H1029" s="1175"/>
      <c r="I1029" s="1175"/>
      <c r="J1029" s="1175"/>
      <c r="K1029" s="1175"/>
      <c r="L1029" s="1180"/>
      <c r="M1029" s="750">
        <f t="shared" si="37"/>
        <v>0</v>
      </c>
      <c r="AD1029" s="743"/>
      <c r="AE1029" s="743"/>
      <c r="AF1029" s="743"/>
      <c r="AG1029" s="743"/>
      <c r="AH1029" s="743"/>
      <c r="AI1029" s="743"/>
    </row>
    <row r="1030" spans="1:35" hidden="1" x14ac:dyDescent="0.25">
      <c r="A1030" s="751" t="s">
        <v>782</v>
      </c>
      <c r="B1030" s="751"/>
      <c r="C1030" s="745" t="s">
        <v>1112</v>
      </c>
      <c r="D1030" s="762"/>
      <c r="E1030" s="1406"/>
      <c r="F1030" s="1406"/>
      <c r="G1030" s="1297"/>
      <c r="H1030" s="1175"/>
      <c r="I1030" s="1175"/>
      <c r="J1030" s="1175"/>
      <c r="K1030" s="1175"/>
      <c r="L1030" s="1180"/>
      <c r="M1030" s="750">
        <f t="shared" si="37"/>
        <v>0</v>
      </c>
      <c r="AD1030" s="743"/>
      <c r="AE1030" s="743"/>
      <c r="AF1030" s="743"/>
      <c r="AG1030" s="743"/>
      <c r="AH1030" s="743"/>
      <c r="AI1030" s="743"/>
    </row>
    <row r="1031" spans="1:35" hidden="1" x14ac:dyDescent="0.25">
      <c r="A1031" s="751" t="s">
        <v>783</v>
      </c>
      <c r="B1031" s="751"/>
      <c r="C1031" s="745" t="s">
        <v>1113</v>
      </c>
      <c r="D1031" s="762"/>
      <c r="E1031" s="1406"/>
      <c r="F1031" s="1406"/>
      <c r="G1031" s="1297"/>
      <c r="H1031" s="1175"/>
      <c r="I1031" s="1175"/>
      <c r="J1031" s="1175"/>
      <c r="K1031" s="1175"/>
      <c r="L1031" s="1180"/>
      <c r="M1031" s="750">
        <f t="shared" si="37"/>
        <v>0</v>
      </c>
      <c r="AD1031" s="743"/>
      <c r="AE1031" s="743"/>
      <c r="AF1031" s="743"/>
      <c r="AG1031" s="743"/>
      <c r="AH1031" s="743"/>
      <c r="AI1031" s="743"/>
    </row>
    <row r="1032" spans="1:35" hidden="1" x14ac:dyDescent="0.25">
      <c r="A1032" s="751" t="s">
        <v>784</v>
      </c>
      <c r="B1032" s="751"/>
      <c r="C1032" s="745" t="s">
        <v>1114</v>
      </c>
      <c r="D1032" s="762"/>
      <c r="E1032" s="1406"/>
      <c r="F1032" s="1406"/>
      <c r="G1032" s="1297"/>
      <c r="H1032" s="1175"/>
      <c r="I1032" s="1175"/>
      <c r="J1032" s="1175"/>
      <c r="K1032" s="1175"/>
      <c r="L1032" s="1180"/>
      <c r="M1032" s="750">
        <f t="shared" si="37"/>
        <v>0</v>
      </c>
      <c r="AD1032" s="743"/>
      <c r="AE1032" s="743"/>
      <c r="AF1032" s="743"/>
      <c r="AG1032" s="743"/>
      <c r="AH1032" s="743"/>
      <c r="AI1032" s="743"/>
    </row>
    <row r="1033" spans="1:35" hidden="1" x14ac:dyDescent="0.25">
      <c r="A1033" s="751" t="s">
        <v>785</v>
      </c>
      <c r="B1033" s="751"/>
      <c r="C1033" s="745" t="s">
        <v>1115</v>
      </c>
      <c r="D1033" s="762"/>
      <c r="E1033" s="1406"/>
      <c r="F1033" s="1406"/>
      <c r="G1033" s="1297"/>
      <c r="H1033" s="1175"/>
      <c r="I1033" s="1175"/>
      <c r="J1033" s="1175"/>
      <c r="K1033" s="1175"/>
      <c r="L1033" s="1180"/>
      <c r="M1033" s="750">
        <f t="shared" si="37"/>
        <v>0</v>
      </c>
      <c r="AD1033" s="743"/>
      <c r="AE1033" s="743"/>
      <c r="AF1033" s="743"/>
      <c r="AG1033" s="743"/>
      <c r="AH1033" s="743"/>
      <c r="AI1033" s="743"/>
    </row>
    <row r="1034" spans="1:35" x14ac:dyDescent="0.25">
      <c r="A1034" s="751" t="s">
        <v>910</v>
      </c>
      <c r="B1034" s="751"/>
      <c r="C1034" s="745" t="s">
        <v>1116</v>
      </c>
      <c r="D1034" s="619">
        <f>SUM(E1034:F1034)</f>
        <v>5100000</v>
      </c>
      <c r="E1034" s="1406">
        <f>1500000+3000000</f>
        <v>4500000</v>
      </c>
      <c r="F1034" s="1406">
        <v>600000</v>
      </c>
      <c r="G1034" s="1297"/>
      <c r="H1034" s="1175"/>
      <c r="I1034" s="1175"/>
      <c r="J1034" s="1175"/>
      <c r="K1034" s="1175"/>
      <c r="L1034" s="1180"/>
      <c r="M1034" s="750">
        <f t="shared" si="37"/>
        <v>10200000</v>
      </c>
      <c r="AD1034" s="743"/>
      <c r="AE1034" s="743"/>
      <c r="AF1034" s="743"/>
      <c r="AG1034" s="743"/>
      <c r="AH1034" s="743"/>
      <c r="AI1034" s="743"/>
    </row>
    <row r="1035" spans="1:35" hidden="1" x14ac:dyDescent="0.25">
      <c r="A1035" s="751" t="s">
        <v>911</v>
      </c>
      <c r="B1035" s="751"/>
      <c r="C1035" s="745" t="s">
        <v>1117</v>
      </c>
      <c r="D1035" s="762"/>
      <c r="E1035" s="1406"/>
      <c r="F1035" s="1406"/>
      <c r="G1035" s="1297"/>
      <c r="H1035" s="1175"/>
      <c r="I1035" s="1175"/>
      <c r="J1035" s="1175"/>
      <c r="K1035" s="1175"/>
      <c r="L1035" s="1180"/>
      <c r="M1035" s="750">
        <f t="shared" si="37"/>
        <v>0</v>
      </c>
      <c r="AD1035" s="743"/>
      <c r="AE1035" s="743"/>
      <c r="AF1035" s="743"/>
      <c r="AG1035" s="743"/>
      <c r="AH1035" s="743"/>
      <c r="AI1035" s="743"/>
    </row>
    <row r="1036" spans="1:35" hidden="1" x14ac:dyDescent="0.25">
      <c r="A1036" s="751" t="s">
        <v>1118</v>
      </c>
      <c r="B1036" s="751"/>
      <c r="C1036" s="745" t="s">
        <v>1119</v>
      </c>
      <c r="D1036" s="762"/>
      <c r="E1036" s="1406"/>
      <c r="F1036" s="1406"/>
      <c r="G1036" s="1297"/>
      <c r="H1036" s="1175"/>
      <c r="I1036" s="1175"/>
      <c r="J1036" s="1175"/>
      <c r="K1036" s="1175"/>
      <c r="L1036" s="1180"/>
      <c r="M1036" s="750">
        <f t="shared" si="37"/>
        <v>0</v>
      </c>
      <c r="AD1036" s="743"/>
      <c r="AE1036" s="743"/>
      <c r="AF1036" s="743"/>
      <c r="AG1036" s="743"/>
      <c r="AH1036" s="743"/>
      <c r="AI1036" s="743"/>
    </row>
    <row r="1037" spans="1:35" hidden="1" x14ac:dyDescent="0.25">
      <c r="A1037" s="751" t="s">
        <v>1120</v>
      </c>
      <c r="B1037" s="751"/>
      <c r="C1037" s="745" t="s">
        <v>1121</v>
      </c>
      <c r="D1037" s="762"/>
      <c r="E1037" s="1406"/>
      <c r="F1037" s="1406"/>
      <c r="G1037" s="1297"/>
      <c r="H1037" s="1175"/>
      <c r="I1037" s="1175"/>
      <c r="J1037" s="1175"/>
      <c r="K1037" s="1175"/>
      <c r="L1037" s="1180"/>
      <c r="M1037" s="750">
        <f t="shared" si="37"/>
        <v>0</v>
      </c>
      <c r="AD1037" s="743"/>
      <c r="AE1037" s="743"/>
      <c r="AF1037" s="743"/>
      <c r="AG1037" s="743"/>
      <c r="AH1037" s="743"/>
      <c r="AI1037" s="743"/>
    </row>
    <row r="1038" spans="1:35" hidden="1" x14ac:dyDescent="0.25">
      <c r="A1038" s="751" t="s">
        <v>1122</v>
      </c>
      <c r="B1038" s="751"/>
      <c r="C1038" s="745" t="s">
        <v>1123</v>
      </c>
      <c r="D1038" s="762"/>
      <c r="E1038" s="1406"/>
      <c r="F1038" s="1406"/>
      <c r="G1038" s="1297"/>
      <c r="H1038" s="1175"/>
      <c r="I1038" s="1175"/>
      <c r="J1038" s="1175"/>
      <c r="K1038" s="1175"/>
      <c r="L1038" s="1180"/>
      <c r="M1038" s="750">
        <f t="shared" ref="M1038:M1101" si="38">SUM(D1038:H1038)</f>
        <v>0</v>
      </c>
      <c r="AD1038" s="743"/>
      <c r="AE1038" s="743"/>
      <c r="AF1038" s="743"/>
      <c r="AG1038" s="743"/>
      <c r="AH1038" s="743"/>
      <c r="AI1038" s="743"/>
    </row>
    <row r="1039" spans="1:35" hidden="1" x14ac:dyDescent="0.25">
      <c r="A1039" s="751" t="s">
        <v>1124</v>
      </c>
      <c r="B1039" s="751"/>
      <c r="C1039" s="745" t="s">
        <v>1125</v>
      </c>
      <c r="D1039" s="762"/>
      <c r="E1039" s="1406"/>
      <c r="F1039" s="1406"/>
      <c r="G1039" s="1297"/>
      <c r="H1039" s="1175"/>
      <c r="I1039" s="1175"/>
      <c r="J1039" s="1175"/>
      <c r="K1039" s="1175"/>
      <c r="L1039" s="1180"/>
      <c r="M1039" s="750">
        <f t="shared" si="38"/>
        <v>0</v>
      </c>
      <c r="AD1039" s="743"/>
      <c r="AE1039" s="743"/>
      <c r="AF1039" s="743"/>
      <c r="AG1039" s="743"/>
      <c r="AH1039" s="743"/>
      <c r="AI1039" s="743"/>
    </row>
    <row r="1040" spans="1:35" hidden="1" x14ac:dyDescent="0.25">
      <c r="A1040" s="751" t="s">
        <v>1126</v>
      </c>
      <c r="B1040" s="751"/>
      <c r="C1040" s="745" t="s">
        <v>1127</v>
      </c>
      <c r="D1040" s="762"/>
      <c r="E1040" s="1406"/>
      <c r="F1040" s="1406"/>
      <c r="G1040" s="1297"/>
      <c r="H1040" s="1175"/>
      <c r="I1040" s="1175"/>
      <c r="J1040" s="1175"/>
      <c r="K1040" s="1175"/>
      <c r="L1040" s="1180"/>
      <c r="M1040" s="750">
        <f t="shared" si="38"/>
        <v>0</v>
      </c>
      <c r="AD1040" s="743"/>
      <c r="AE1040" s="743"/>
      <c r="AF1040" s="743"/>
      <c r="AG1040" s="743"/>
      <c r="AH1040" s="743"/>
      <c r="AI1040" s="743"/>
    </row>
    <row r="1041" spans="1:49" hidden="1" x14ac:dyDescent="0.25">
      <c r="A1041" s="751" t="s">
        <v>1128</v>
      </c>
      <c r="B1041" s="751"/>
      <c r="C1041" s="745" t="s">
        <v>1129</v>
      </c>
      <c r="D1041" s="762"/>
      <c r="E1041" s="1406"/>
      <c r="F1041" s="1406"/>
      <c r="G1041" s="1297"/>
      <c r="H1041" s="1175"/>
      <c r="I1041" s="1175"/>
      <c r="J1041" s="1175"/>
      <c r="K1041" s="1175"/>
      <c r="L1041" s="1180"/>
      <c r="M1041" s="750">
        <f t="shared" si="38"/>
        <v>0</v>
      </c>
      <c r="AD1041" s="743"/>
      <c r="AE1041" s="743"/>
      <c r="AF1041" s="743"/>
      <c r="AG1041" s="743"/>
      <c r="AH1041" s="743"/>
      <c r="AI1041" s="743"/>
    </row>
    <row r="1042" spans="1:49" hidden="1" x14ac:dyDescent="0.25">
      <c r="A1042" s="751" t="s">
        <v>1130</v>
      </c>
      <c r="B1042" s="751"/>
      <c r="C1042" s="745" t="s">
        <v>1131</v>
      </c>
      <c r="D1042" s="762"/>
      <c r="E1042" s="1406"/>
      <c r="F1042" s="1406"/>
      <c r="G1042" s="1297"/>
      <c r="H1042" s="1175"/>
      <c r="I1042" s="1175"/>
      <c r="J1042" s="1175"/>
      <c r="K1042" s="1175"/>
      <c r="L1042" s="1180"/>
      <c r="M1042" s="750">
        <f t="shared" si="38"/>
        <v>0</v>
      </c>
      <c r="AD1042" s="743"/>
      <c r="AE1042" s="743"/>
      <c r="AF1042" s="743"/>
      <c r="AG1042" s="743"/>
      <c r="AH1042" s="743"/>
      <c r="AI1042" s="743"/>
    </row>
    <row r="1043" spans="1:49" hidden="1" x14ac:dyDescent="0.25">
      <c r="A1043" s="751" t="s">
        <v>1132</v>
      </c>
      <c r="B1043" s="751"/>
      <c r="C1043" s="745" t="s">
        <v>1133</v>
      </c>
      <c r="D1043" s="762"/>
      <c r="E1043" s="1406"/>
      <c r="F1043" s="1406"/>
      <c r="G1043" s="1297"/>
      <c r="H1043" s="1175"/>
      <c r="I1043" s="1175"/>
      <c r="J1043" s="1175"/>
      <c r="K1043" s="1175"/>
      <c r="L1043" s="1180"/>
      <c r="M1043" s="750">
        <f t="shared" si="38"/>
        <v>0</v>
      </c>
      <c r="AD1043" s="743"/>
      <c r="AE1043" s="743"/>
      <c r="AF1043" s="743"/>
      <c r="AG1043" s="743"/>
      <c r="AH1043" s="743"/>
      <c r="AI1043" s="743"/>
    </row>
    <row r="1044" spans="1:49" hidden="1" x14ac:dyDescent="0.25">
      <c r="A1044" s="751" t="s">
        <v>1134</v>
      </c>
      <c r="B1044" s="751"/>
      <c r="C1044" s="745" t="s">
        <v>1135</v>
      </c>
      <c r="D1044" s="762"/>
      <c r="E1044" s="1406"/>
      <c r="F1044" s="1406"/>
      <c r="G1044" s="1297"/>
      <c r="H1044" s="1175"/>
      <c r="I1044" s="1175"/>
      <c r="J1044" s="1175"/>
      <c r="K1044" s="1175"/>
      <c r="L1044" s="1180"/>
      <c r="M1044" s="750">
        <f t="shared" si="38"/>
        <v>0</v>
      </c>
      <c r="AD1044" s="743"/>
      <c r="AE1044" s="743"/>
      <c r="AF1044" s="743"/>
      <c r="AG1044" s="743"/>
      <c r="AH1044" s="743"/>
      <c r="AI1044" s="743"/>
    </row>
    <row r="1045" spans="1:49" hidden="1" x14ac:dyDescent="0.25">
      <c r="A1045" s="751" t="s">
        <v>1136</v>
      </c>
      <c r="B1045" s="751"/>
      <c r="C1045" s="745" t="s">
        <v>1137</v>
      </c>
      <c r="D1045" s="762"/>
      <c r="E1045" s="1406"/>
      <c r="F1045" s="1406"/>
      <c r="G1045" s="1297"/>
      <c r="H1045" s="1175"/>
      <c r="I1045" s="1175"/>
      <c r="J1045" s="1175"/>
      <c r="K1045" s="1175"/>
      <c r="L1045" s="1180"/>
      <c r="M1045" s="750">
        <f t="shared" si="38"/>
        <v>0</v>
      </c>
      <c r="AD1045" s="743"/>
      <c r="AE1045" s="743"/>
      <c r="AF1045" s="743"/>
      <c r="AG1045" s="743"/>
      <c r="AH1045" s="743"/>
      <c r="AI1045" s="743"/>
    </row>
    <row r="1046" spans="1:49" hidden="1" x14ac:dyDescent="0.25">
      <c r="A1046" s="751" t="s">
        <v>1138</v>
      </c>
      <c r="B1046" s="751"/>
      <c r="C1046" s="745" t="s">
        <v>1139</v>
      </c>
      <c r="D1046" s="762"/>
      <c r="E1046" s="1406"/>
      <c r="F1046" s="1406"/>
      <c r="G1046" s="1297"/>
      <c r="H1046" s="1175"/>
      <c r="I1046" s="1175"/>
      <c r="J1046" s="1175"/>
      <c r="K1046" s="1175"/>
      <c r="L1046" s="1180"/>
      <c r="M1046" s="750">
        <f t="shared" si="38"/>
        <v>0</v>
      </c>
      <c r="AD1046" s="743"/>
      <c r="AE1046" s="743"/>
      <c r="AF1046" s="743"/>
      <c r="AG1046" s="743"/>
      <c r="AH1046" s="743"/>
      <c r="AI1046" s="743"/>
    </row>
    <row r="1047" spans="1:49" hidden="1" x14ac:dyDescent="0.25">
      <c r="A1047" s="751" t="s">
        <v>1140</v>
      </c>
      <c r="B1047" s="751"/>
      <c r="C1047" s="745" t="s">
        <v>1141</v>
      </c>
      <c r="D1047" s="762"/>
      <c r="E1047" s="1406"/>
      <c r="F1047" s="1406"/>
      <c r="G1047" s="1297"/>
      <c r="H1047" s="1175"/>
      <c r="I1047" s="1175"/>
      <c r="J1047" s="1175"/>
      <c r="K1047" s="1175"/>
      <c r="L1047" s="1180"/>
      <c r="M1047" s="750">
        <f t="shared" si="38"/>
        <v>0</v>
      </c>
      <c r="AD1047" s="743"/>
      <c r="AE1047" s="743"/>
      <c r="AF1047" s="743"/>
      <c r="AG1047" s="743"/>
      <c r="AH1047" s="743"/>
      <c r="AI1047" s="743"/>
    </row>
    <row r="1048" spans="1:49" hidden="1" x14ac:dyDescent="0.25">
      <c r="A1048" s="751" t="s">
        <v>1142</v>
      </c>
      <c r="B1048" s="751"/>
      <c r="C1048" s="745" t="s">
        <v>1143</v>
      </c>
      <c r="D1048" s="762"/>
      <c r="E1048" s="1406"/>
      <c r="F1048" s="1406"/>
      <c r="G1048" s="1297"/>
      <c r="H1048" s="1175"/>
      <c r="I1048" s="1175"/>
      <c r="J1048" s="1175"/>
      <c r="K1048" s="1175"/>
      <c r="L1048" s="1180"/>
      <c r="M1048" s="750">
        <f t="shared" si="38"/>
        <v>0</v>
      </c>
      <c r="AD1048" s="743"/>
      <c r="AE1048" s="743"/>
      <c r="AF1048" s="743"/>
      <c r="AG1048" s="743"/>
      <c r="AH1048" s="743"/>
      <c r="AI1048" s="743"/>
    </row>
    <row r="1049" spans="1:49" hidden="1" x14ac:dyDescent="0.25">
      <c r="A1049" s="751" t="s">
        <v>1144</v>
      </c>
      <c r="B1049" s="751"/>
      <c r="C1049" s="745" t="s">
        <v>1145</v>
      </c>
      <c r="D1049" s="762"/>
      <c r="E1049" s="1406"/>
      <c r="F1049" s="1406"/>
      <c r="G1049" s="1297"/>
      <c r="H1049" s="1175"/>
      <c r="I1049" s="1175"/>
      <c r="J1049" s="1175"/>
      <c r="K1049" s="1175"/>
      <c r="L1049" s="1180"/>
      <c r="M1049" s="750">
        <f t="shared" si="38"/>
        <v>0</v>
      </c>
      <c r="AD1049" s="743"/>
      <c r="AE1049" s="743"/>
      <c r="AF1049" s="743"/>
      <c r="AG1049" s="743"/>
      <c r="AH1049" s="743"/>
      <c r="AI1049" s="743"/>
    </row>
    <row r="1050" spans="1:49" hidden="1" x14ac:dyDescent="0.25">
      <c r="A1050" s="751" t="s">
        <v>1146</v>
      </c>
      <c r="B1050" s="751"/>
      <c r="C1050" s="745" t="s">
        <v>1147</v>
      </c>
      <c r="D1050" s="762"/>
      <c r="E1050" s="1406"/>
      <c r="F1050" s="1406"/>
      <c r="G1050" s="1297"/>
      <c r="H1050" s="1175"/>
      <c r="I1050" s="1175"/>
      <c r="J1050" s="1175"/>
      <c r="K1050" s="1175"/>
      <c r="L1050" s="1180"/>
      <c r="M1050" s="750">
        <f t="shared" si="38"/>
        <v>0</v>
      </c>
      <c r="AD1050" s="743"/>
      <c r="AE1050" s="743"/>
      <c r="AF1050" s="743"/>
      <c r="AG1050" s="743"/>
      <c r="AH1050" s="743"/>
      <c r="AI1050" s="743"/>
    </row>
    <row r="1051" spans="1:49" hidden="1" x14ac:dyDescent="0.25">
      <c r="A1051" s="751" t="s">
        <v>1148</v>
      </c>
      <c r="B1051" s="751"/>
      <c r="C1051" s="745" t="s">
        <v>1149</v>
      </c>
      <c r="D1051" s="762"/>
      <c r="E1051" s="1406"/>
      <c r="F1051" s="1406"/>
      <c r="G1051" s="1297"/>
      <c r="H1051" s="1175"/>
      <c r="I1051" s="1175"/>
      <c r="J1051" s="1175"/>
      <c r="K1051" s="1175"/>
      <c r="L1051" s="1180"/>
      <c r="M1051" s="750">
        <f t="shared" si="38"/>
        <v>0</v>
      </c>
      <c r="AD1051" s="743"/>
      <c r="AE1051" s="743"/>
      <c r="AF1051" s="743"/>
      <c r="AG1051" s="743"/>
      <c r="AH1051" s="743"/>
      <c r="AI1051" s="743"/>
    </row>
    <row r="1052" spans="1:49" hidden="1" x14ac:dyDescent="0.25">
      <c r="A1052" s="788"/>
      <c r="B1052" s="788"/>
      <c r="C1052" s="865" t="s">
        <v>168</v>
      </c>
      <c r="D1052" s="762"/>
      <c r="E1052" s="1406"/>
      <c r="F1052" s="1406"/>
      <c r="G1052" s="1297"/>
      <c r="H1052" s="1175"/>
      <c r="I1052" s="1175"/>
      <c r="J1052" s="1175"/>
      <c r="K1052" s="1175"/>
      <c r="L1052" s="1180"/>
      <c r="M1052" s="750">
        <f t="shared" si="38"/>
        <v>0</v>
      </c>
      <c r="O1052" s="1374" t="s">
        <v>53</v>
      </c>
      <c r="P1052" s="1374"/>
      <c r="AD1052" s="743"/>
      <c r="AE1052" s="743"/>
      <c r="AF1052" s="743"/>
      <c r="AG1052" s="743"/>
      <c r="AH1052" s="743"/>
      <c r="AI1052" s="743"/>
    </row>
    <row r="1053" spans="1:49" ht="18.75" x14ac:dyDescent="0.25">
      <c r="A1053" s="1741" t="s">
        <v>513</v>
      </c>
      <c r="B1053" s="1738">
        <v>9770</v>
      </c>
      <c r="C1053" s="1753" t="s">
        <v>305</v>
      </c>
      <c r="D1053" s="1089">
        <f>SUM(D1057:D1123)</f>
        <v>16485641</v>
      </c>
      <c r="E1053" s="1733"/>
      <c r="F1053" s="1770"/>
      <c r="G1053" s="1770"/>
      <c r="H1053" s="1770"/>
      <c r="I1053" s="1203"/>
      <c r="J1053" s="1203"/>
      <c r="K1053" s="1203"/>
      <c r="L1053" s="1204"/>
      <c r="M1053" s="750">
        <f t="shared" si="38"/>
        <v>16485641</v>
      </c>
      <c r="O1053" s="857" t="s">
        <v>1820</v>
      </c>
      <c r="P1053" s="851"/>
      <c r="AD1053" s="743"/>
      <c r="AE1053" s="743"/>
      <c r="AF1053" s="743"/>
      <c r="AG1053" s="743"/>
      <c r="AH1053" s="743"/>
      <c r="AI1053" s="743"/>
    </row>
    <row r="1054" spans="1:49" s="738" customFormat="1" ht="18.75" x14ac:dyDescent="0.25">
      <c r="A1054" s="1742"/>
      <c r="B1054" s="1739"/>
      <c r="C1054" s="1754"/>
      <c r="D1054" s="1099"/>
      <c r="E1054" s="1734"/>
      <c r="F1054" s="1771"/>
      <c r="G1054" s="1771"/>
      <c r="H1054" s="1771"/>
      <c r="I1054" s="1189"/>
      <c r="J1054" s="1189"/>
      <c r="K1054" s="1189"/>
      <c r="L1054" s="1190"/>
      <c r="M1054" s="750">
        <v>1</v>
      </c>
      <c r="N1054" s="450"/>
      <c r="O1054" s="857" t="s">
        <v>82</v>
      </c>
      <c r="P1054" s="857" t="s">
        <v>3</v>
      </c>
      <c r="Q1054" s="450"/>
      <c r="R1054" s="450"/>
      <c r="S1054" s="450"/>
      <c r="T1054" s="450"/>
      <c r="U1054" s="450"/>
      <c r="V1054" s="450"/>
      <c r="W1054" s="450"/>
      <c r="X1054" s="450"/>
      <c r="Y1054" s="450"/>
      <c r="Z1054" s="450"/>
      <c r="AA1054" s="450"/>
      <c r="AB1054" s="450"/>
      <c r="AC1054" s="450"/>
      <c r="AD1054" s="744"/>
      <c r="AE1054" s="744"/>
      <c r="AF1054" s="744"/>
      <c r="AG1054" s="744"/>
      <c r="AH1054" s="744"/>
      <c r="AI1054" s="744"/>
      <c r="AJ1054" s="450"/>
      <c r="AK1054" s="450"/>
      <c r="AL1054" s="450"/>
      <c r="AM1054" s="450"/>
      <c r="AN1054" s="450"/>
      <c r="AO1054" s="450"/>
      <c r="AP1054" s="450"/>
      <c r="AQ1054" s="450"/>
      <c r="AR1054" s="450"/>
      <c r="AS1054" s="450"/>
      <c r="AT1054" s="450"/>
      <c r="AU1054" s="450"/>
      <c r="AV1054" s="450"/>
      <c r="AW1054" s="450"/>
    </row>
    <row r="1055" spans="1:49" ht="18.75" x14ac:dyDescent="0.25">
      <c r="A1055" s="1742"/>
      <c r="B1055" s="1739"/>
      <c r="C1055" s="1754"/>
      <c r="D1055" s="1099"/>
      <c r="E1055" s="1734"/>
      <c r="F1055" s="1771"/>
      <c r="G1055" s="1771"/>
      <c r="H1055" s="1771"/>
      <c r="I1055" s="1189"/>
      <c r="J1055" s="1189"/>
      <c r="K1055" s="1189"/>
      <c r="L1055" s="1190"/>
      <c r="M1055" s="750">
        <v>1</v>
      </c>
      <c r="O1055" s="857"/>
      <c r="P1055" s="851"/>
      <c r="AD1055" s="743"/>
      <c r="AE1055" s="743"/>
      <c r="AF1055" s="743"/>
      <c r="AG1055" s="743"/>
      <c r="AH1055" s="743"/>
      <c r="AI1055" s="743"/>
    </row>
    <row r="1056" spans="1:49" s="738" customFormat="1" ht="18.75" x14ac:dyDescent="0.25">
      <c r="A1056" s="1743"/>
      <c r="B1056" s="1740"/>
      <c r="C1056" s="1755"/>
      <c r="D1056" s="1098"/>
      <c r="E1056" s="1734"/>
      <c r="F1056" s="1771"/>
      <c r="G1056" s="1771"/>
      <c r="H1056" s="1771"/>
      <c r="I1056" s="1189"/>
      <c r="J1056" s="1189"/>
      <c r="K1056" s="1189"/>
      <c r="L1056" s="1190"/>
      <c r="M1056" s="750">
        <v>1</v>
      </c>
      <c r="N1056" s="450"/>
      <c r="O1056" s="858">
        <f>SUM(O1057:O1123)</f>
        <v>35500413</v>
      </c>
      <c r="P1056" s="858">
        <f>O1056-(D1053+D982+D911+D73)</f>
        <v>0</v>
      </c>
      <c r="Q1056" s="450"/>
      <c r="R1056" s="450"/>
      <c r="S1056" s="450"/>
      <c r="T1056" s="450"/>
      <c r="U1056" s="450"/>
      <c r="V1056" s="450"/>
      <c r="W1056" s="450"/>
      <c r="X1056" s="450"/>
      <c r="Y1056" s="450"/>
      <c r="Z1056" s="450"/>
      <c r="AA1056" s="450"/>
      <c r="AB1056" s="450"/>
      <c r="AC1056" s="450"/>
      <c r="AD1056" s="744"/>
      <c r="AE1056" s="744"/>
      <c r="AF1056" s="744"/>
      <c r="AG1056" s="744"/>
      <c r="AH1056" s="744"/>
      <c r="AI1056" s="744"/>
      <c r="AJ1056" s="450"/>
      <c r="AK1056" s="450"/>
      <c r="AL1056" s="450"/>
      <c r="AM1056" s="450"/>
      <c r="AN1056" s="450"/>
      <c r="AO1056" s="450"/>
      <c r="AP1056" s="450"/>
      <c r="AQ1056" s="450"/>
      <c r="AR1056" s="450"/>
      <c r="AS1056" s="450"/>
      <c r="AT1056" s="450"/>
      <c r="AU1056" s="450"/>
      <c r="AV1056" s="450"/>
      <c r="AW1056" s="450"/>
    </row>
    <row r="1057" spans="1:49" hidden="1" x14ac:dyDescent="0.25">
      <c r="A1057" s="751" t="s">
        <v>526</v>
      </c>
      <c r="B1057" s="751"/>
      <c r="C1057" s="745" t="s">
        <v>1060</v>
      </c>
      <c r="D1057" s="867">
        <v>0</v>
      </c>
      <c r="E1057" s="1730"/>
      <c r="F1057" s="1731"/>
      <c r="G1057" s="1731"/>
      <c r="H1057" s="1731"/>
      <c r="I1057" s="1175"/>
      <c r="J1057" s="1175"/>
      <c r="K1057" s="1175"/>
      <c r="L1057" s="1180"/>
      <c r="M1057" s="750">
        <f t="shared" si="38"/>
        <v>0</v>
      </c>
      <c r="O1057" s="858">
        <f>' дод 5_1'!D18</f>
        <v>0</v>
      </c>
      <c r="P1057" s="858" t="b">
        <f t="shared" ref="P1057:P1088" si="39">D915+D986+D1057+D77=O1057</f>
        <v>1</v>
      </c>
      <c r="AD1057" s="743"/>
      <c r="AE1057" s="743"/>
      <c r="AF1057" s="743"/>
      <c r="AG1057" s="743"/>
      <c r="AH1057" s="743"/>
      <c r="AI1057" s="743"/>
    </row>
    <row r="1058" spans="1:49" s="738" customFormat="1" x14ac:dyDescent="0.25">
      <c r="A1058" s="751" t="s">
        <v>527</v>
      </c>
      <c r="B1058" s="751"/>
      <c r="C1058" s="745" t="s">
        <v>1069</v>
      </c>
      <c r="D1058" s="914">
        <v>40000</v>
      </c>
      <c r="E1058" s="1730"/>
      <c r="F1058" s="1731"/>
      <c r="G1058" s="1731"/>
      <c r="H1058" s="1731"/>
      <c r="I1058" s="1175"/>
      <c r="J1058" s="1175"/>
      <c r="K1058" s="1175"/>
      <c r="L1058" s="1180"/>
      <c r="M1058" s="750">
        <f t="shared" si="38"/>
        <v>40000</v>
      </c>
      <c r="N1058" s="450"/>
      <c r="O1058" s="858">
        <f>' дод 5_1'!D29</f>
        <v>41700</v>
      </c>
      <c r="P1058" s="858" t="b">
        <f t="shared" si="39"/>
        <v>1</v>
      </c>
      <c r="Q1058" s="450"/>
      <c r="R1058" s="450"/>
      <c r="S1058" s="450"/>
      <c r="T1058" s="450"/>
      <c r="U1058" s="450"/>
      <c r="V1058" s="450"/>
      <c r="W1058" s="450"/>
      <c r="X1058" s="450"/>
      <c r="Y1058" s="450"/>
      <c r="Z1058" s="450"/>
      <c r="AA1058" s="450"/>
      <c r="AB1058" s="450"/>
      <c r="AC1058" s="450"/>
      <c r="AD1058" s="744"/>
      <c r="AE1058" s="744"/>
      <c r="AF1058" s="744"/>
      <c r="AG1058" s="744"/>
      <c r="AH1058" s="744"/>
      <c r="AI1058" s="744"/>
      <c r="AJ1058" s="450"/>
      <c r="AK1058" s="450"/>
      <c r="AL1058" s="450"/>
      <c r="AM1058" s="450"/>
      <c r="AN1058" s="450"/>
      <c r="AO1058" s="450"/>
      <c r="AP1058" s="450"/>
      <c r="AQ1058" s="450"/>
      <c r="AR1058" s="450"/>
      <c r="AS1058" s="450"/>
      <c r="AT1058" s="450"/>
      <c r="AU1058" s="450"/>
      <c r="AV1058" s="450"/>
      <c r="AW1058" s="450"/>
    </row>
    <row r="1059" spans="1:49" x14ac:dyDescent="0.25">
      <c r="A1059" s="751" t="s">
        <v>528</v>
      </c>
      <c r="B1059" s="751"/>
      <c r="C1059" s="745" t="s">
        <v>1070</v>
      </c>
      <c r="D1059" s="914">
        <v>50000</v>
      </c>
      <c r="E1059" s="1730"/>
      <c r="F1059" s="1731"/>
      <c r="G1059" s="1731"/>
      <c r="H1059" s="1731"/>
      <c r="I1059" s="1175"/>
      <c r="J1059" s="1175"/>
      <c r="K1059" s="1175"/>
      <c r="L1059" s="1180"/>
      <c r="M1059" s="750">
        <f t="shared" si="38"/>
        <v>50000</v>
      </c>
      <c r="O1059" s="858">
        <f>' дод 5_1'!D40</f>
        <v>50900</v>
      </c>
      <c r="P1059" s="858" t="b">
        <f t="shared" si="39"/>
        <v>1</v>
      </c>
      <c r="AD1059" s="743"/>
      <c r="AE1059" s="743"/>
      <c r="AF1059" s="743"/>
      <c r="AG1059" s="743"/>
      <c r="AH1059" s="743"/>
      <c r="AI1059" s="743"/>
    </row>
    <row r="1060" spans="1:49" ht="20.45" customHeight="1" x14ac:dyDescent="0.25">
      <c r="A1060" s="751" t="s">
        <v>529</v>
      </c>
      <c r="B1060" s="751"/>
      <c r="C1060" s="745" t="s">
        <v>1071</v>
      </c>
      <c r="D1060" s="914">
        <v>110000</v>
      </c>
      <c r="E1060" s="1730"/>
      <c r="F1060" s="1731"/>
      <c r="G1060" s="1731"/>
      <c r="H1060" s="1731"/>
      <c r="I1060" s="1175"/>
      <c r="J1060" s="1175"/>
      <c r="K1060" s="1175"/>
      <c r="L1060" s="1180"/>
      <c r="M1060" s="750">
        <f t="shared" si="38"/>
        <v>110000</v>
      </c>
      <c r="O1060" s="858">
        <f>' дод 5_1'!D51</f>
        <v>169160</v>
      </c>
      <c r="P1060" s="858" t="b">
        <f t="shared" si="39"/>
        <v>1</v>
      </c>
      <c r="AD1060" s="743"/>
      <c r="AE1060" s="743"/>
      <c r="AF1060" s="743"/>
      <c r="AG1060" s="743"/>
      <c r="AH1060" s="743"/>
      <c r="AI1060" s="743"/>
    </row>
    <row r="1061" spans="1:49" hidden="1" x14ac:dyDescent="0.25">
      <c r="A1061" s="751" t="s">
        <v>530</v>
      </c>
      <c r="B1061" s="751"/>
      <c r="C1061" s="745" t="s">
        <v>1072</v>
      </c>
      <c r="D1061" s="762"/>
      <c r="E1061" s="1730"/>
      <c r="F1061" s="1731"/>
      <c r="G1061" s="1731"/>
      <c r="H1061" s="1731"/>
      <c r="I1061" s="1175"/>
      <c r="J1061" s="1175"/>
      <c r="K1061" s="1175"/>
      <c r="L1061" s="1180"/>
      <c r="M1061" s="750">
        <f t="shared" si="38"/>
        <v>0</v>
      </c>
      <c r="O1061" s="858">
        <f>' дод 5_1'!D62</f>
        <v>294130</v>
      </c>
      <c r="P1061" s="858" t="b">
        <f t="shared" si="39"/>
        <v>1</v>
      </c>
      <c r="AD1061" s="743"/>
      <c r="AE1061" s="743"/>
      <c r="AF1061" s="743"/>
      <c r="AG1061" s="743"/>
      <c r="AH1061" s="743"/>
      <c r="AI1061" s="743"/>
    </row>
    <row r="1062" spans="1:49" hidden="1" x14ac:dyDescent="0.25">
      <c r="A1062" s="751" t="s">
        <v>531</v>
      </c>
      <c r="B1062" s="751"/>
      <c r="C1062" s="745" t="s">
        <v>1073</v>
      </c>
      <c r="D1062" s="762"/>
      <c r="E1062" s="1730"/>
      <c r="F1062" s="1731"/>
      <c r="G1062" s="1731"/>
      <c r="H1062" s="1731"/>
      <c r="I1062" s="1175"/>
      <c r="J1062" s="1175"/>
      <c r="K1062" s="1175"/>
      <c r="L1062" s="1180"/>
      <c r="M1062" s="750">
        <f t="shared" si="38"/>
        <v>0</v>
      </c>
      <c r="O1062" s="858">
        <f>' дод 5_1'!D73</f>
        <v>10000</v>
      </c>
      <c r="P1062" s="858" t="b">
        <f t="shared" si="39"/>
        <v>1</v>
      </c>
      <c r="AD1062" s="743"/>
      <c r="AE1062" s="743"/>
      <c r="AF1062" s="743"/>
      <c r="AG1062" s="743"/>
      <c r="AH1062" s="743"/>
      <c r="AI1062" s="743"/>
    </row>
    <row r="1063" spans="1:49" x14ac:dyDescent="0.25">
      <c r="A1063" s="751" t="s">
        <v>532</v>
      </c>
      <c r="B1063" s="751"/>
      <c r="C1063" s="745" t="s">
        <v>1074</v>
      </c>
      <c r="D1063" s="619">
        <f>100000+49900+49900</f>
        <v>199800</v>
      </c>
      <c r="E1063" s="1730"/>
      <c r="F1063" s="1731"/>
      <c r="G1063" s="1731"/>
      <c r="H1063" s="1731"/>
      <c r="I1063" s="1175"/>
      <c r="J1063" s="1175"/>
      <c r="K1063" s="1175"/>
      <c r="L1063" s="1180"/>
      <c r="M1063" s="750">
        <f t="shared" si="38"/>
        <v>199800</v>
      </c>
      <c r="O1063" s="858">
        <f>' дод 5_1'!D84</f>
        <v>261200</v>
      </c>
      <c r="P1063" s="858" t="b">
        <f t="shared" si="39"/>
        <v>1</v>
      </c>
      <c r="AD1063" s="743"/>
      <c r="AE1063" s="743"/>
      <c r="AF1063" s="743"/>
      <c r="AG1063" s="743"/>
      <c r="AH1063" s="743"/>
      <c r="AI1063" s="743"/>
    </row>
    <row r="1064" spans="1:49" x14ac:dyDescent="0.25">
      <c r="A1064" s="751" t="s">
        <v>533</v>
      </c>
      <c r="B1064" s="751"/>
      <c r="C1064" s="745" t="s">
        <v>1075</v>
      </c>
      <c r="D1064" s="914">
        <f>20000+15000+380000+9000</f>
        <v>424000</v>
      </c>
      <c r="E1064" s="1730"/>
      <c r="F1064" s="1731"/>
      <c r="G1064" s="1731"/>
      <c r="H1064" s="1731"/>
      <c r="I1064" s="1175"/>
      <c r="J1064" s="1175"/>
      <c r="K1064" s="1175"/>
      <c r="L1064" s="1180"/>
      <c r="M1064" s="750">
        <f t="shared" si="38"/>
        <v>424000</v>
      </c>
      <c r="O1064" s="858">
        <f>' дод 5_1'!D95</f>
        <v>429200</v>
      </c>
      <c r="P1064" s="858" t="b">
        <f t="shared" si="39"/>
        <v>1</v>
      </c>
      <c r="AD1064" s="743"/>
      <c r="AE1064" s="743"/>
      <c r="AF1064" s="743"/>
      <c r="AG1064" s="743"/>
      <c r="AH1064" s="743"/>
      <c r="AI1064" s="743"/>
    </row>
    <row r="1065" spans="1:49" hidden="1" x14ac:dyDescent="0.25">
      <c r="A1065" s="751" t="s">
        <v>534</v>
      </c>
      <c r="B1065" s="751"/>
      <c r="C1065" s="745" t="s">
        <v>1076</v>
      </c>
      <c r="D1065" s="762">
        <v>0</v>
      </c>
      <c r="E1065" s="1730"/>
      <c r="F1065" s="1731"/>
      <c r="G1065" s="1731"/>
      <c r="H1065" s="1731"/>
      <c r="I1065" s="1175"/>
      <c r="J1065" s="1175"/>
      <c r="K1065" s="1175"/>
      <c r="L1065" s="1180"/>
      <c r="M1065" s="750">
        <f t="shared" si="38"/>
        <v>0</v>
      </c>
      <c r="O1065" s="858">
        <f>' дод 5_1'!D106</f>
        <v>2200</v>
      </c>
      <c r="P1065" s="858" t="b">
        <f t="shared" si="39"/>
        <v>1</v>
      </c>
      <c r="AD1065" s="743"/>
      <c r="AE1065" s="743"/>
      <c r="AF1065" s="743"/>
      <c r="AG1065" s="743"/>
      <c r="AH1065" s="743"/>
      <c r="AI1065" s="743"/>
    </row>
    <row r="1066" spans="1:49" x14ac:dyDescent="0.25">
      <c r="A1066" s="751" t="s">
        <v>535</v>
      </c>
      <c r="B1066" s="751"/>
      <c r="C1066" s="745" t="s">
        <v>1077</v>
      </c>
      <c r="D1066" s="762">
        <f>78956</f>
        <v>78956</v>
      </c>
      <c r="E1066" s="1730"/>
      <c r="F1066" s="1731"/>
      <c r="G1066" s="1731"/>
      <c r="H1066" s="1731"/>
      <c r="I1066" s="1175"/>
      <c r="J1066" s="1175"/>
      <c r="K1066" s="1175"/>
      <c r="L1066" s="1180"/>
      <c r="M1066" s="750">
        <f t="shared" si="38"/>
        <v>78956</v>
      </c>
      <c r="O1066" s="858">
        <f>' дод 5_1'!D117</f>
        <v>191000</v>
      </c>
      <c r="P1066" s="858" t="b">
        <f t="shared" si="39"/>
        <v>1</v>
      </c>
      <c r="AD1066" s="743"/>
      <c r="AE1066" s="743"/>
      <c r="AF1066" s="743"/>
      <c r="AG1066" s="743"/>
      <c r="AH1066" s="743"/>
      <c r="AI1066" s="743"/>
    </row>
    <row r="1067" spans="1:49" x14ac:dyDescent="0.25">
      <c r="A1067" s="751" t="s">
        <v>536</v>
      </c>
      <c r="B1067" s="751"/>
      <c r="C1067" s="745" t="s">
        <v>1078</v>
      </c>
      <c r="D1067" s="914">
        <f>100000+87000+23000</f>
        <v>210000</v>
      </c>
      <c r="E1067" s="1730"/>
      <c r="F1067" s="1731"/>
      <c r="G1067" s="1731"/>
      <c r="H1067" s="1731"/>
      <c r="I1067" s="1175"/>
      <c r="J1067" s="1175"/>
      <c r="K1067" s="1175"/>
      <c r="L1067" s="1180"/>
      <c r="M1067" s="750">
        <f t="shared" si="38"/>
        <v>210000</v>
      </c>
      <c r="O1067" s="858">
        <f>' дод 5_1'!D133</f>
        <v>224600</v>
      </c>
      <c r="P1067" s="858" t="b">
        <f t="shared" si="39"/>
        <v>1</v>
      </c>
      <c r="AD1067" s="743"/>
      <c r="AE1067" s="743"/>
      <c r="AF1067" s="743"/>
      <c r="AG1067" s="743"/>
      <c r="AH1067" s="743"/>
      <c r="AI1067" s="743"/>
    </row>
    <row r="1068" spans="1:49" x14ac:dyDescent="0.25">
      <c r="A1068" s="751" t="s">
        <v>537</v>
      </c>
      <c r="B1068" s="751"/>
      <c r="C1068" s="745" t="s">
        <v>1079</v>
      </c>
      <c r="D1068" s="914">
        <f>100000+75000+50000</f>
        <v>225000</v>
      </c>
      <c r="E1068" s="1730"/>
      <c r="F1068" s="1731"/>
      <c r="G1068" s="1731"/>
      <c r="H1068" s="1731"/>
      <c r="I1068" s="1175"/>
      <c r="J1068" s="1175"/>
      <c r="K1068" s="1175"/>
      <c r="L1068" s="1180"/>
      <c r="M1068" s="750">
        <f t="shared" si="38"/>
        <v>225000</v>
      </c>
      <c r="O1068" s="858">
        <f>' дод 5_1'!D159</f>
        <v>243600</v>
      </c>
      <c r="P1068" s="858" t="b">
        <f t="shared" si="39"/>
        <v>1</v>
      </c>
      <c r="AD1068" s="743"/>
      <c r="AE1068" s="743"/>
      <c r="AF1068" s="743"/>
      <c r="AG1068" s="743"/>
      <c r="AH1068" s="743"/>
      <c r="AI1068" s="743"/>
    </row>
    <row r="1069" spans="1:49" x14ac:dyDescent="0.25">
      <c r="A1069" s="751" t="s">
        <v>538</v>
      </c>
      <c r="B1069" s="751"/>
      <c r="C1069" s="745" t="s">
        <v>1080</v>
      </c>
      <c r="D1069" s="914">
        <f>500000+273800</f>
        <v>773800</v>
      </c>
      <c r="E1069" s="1730"/>
      <c r="F1069" s="1731"/>
      <c r="G1069" s="1731"/>
      <c r="H1069" s="1731"/>
      <c r="I1069" s="1175"/>
      <c r="J1069" s="1175"/>
      <c r="K1069" s="1175"/>
      <c r="L1069" s="1180"/>
      <c r="M1069" s="750">
        <f t="shared" si="38"/>
        <v>773800</v>
      </c>
      <c r="O1069" s="858">
        <f>' дод 5_1'!D219</f>
        <v>2006300</v>
      </c>
      <c r="P1069" s="858" t="b">
        <f t="shared" si="39"/>
        <v>1</v>
      </c>
      <c r="AD1069" s="743"/>
      <c r="AE1069" s="743"/>
      <c r="AF1069" s="743"/>
      <c r="AG1069" s="743"/>
      <c r="AH1069" s="743"/>
      <c r="AI1069" s="743"/>
    </row>
    <row r="1070" spans="1:49" x14ac:dyDescent="0.25">
      <c r="A1070" s="751" t="s">
        <v>539</v>
      </c>
      <c r="B1070" s="751"/>
      <c r="C1070" s="745" t="s">
        <v>1081</v>
      </c>
      <c r="D1070" s="914">
        <v>140000</v>
      </c>
      <c r="E1070" s="1730"/>
      <c r="F1070" s="1731"/>
      <c r="G1070" s="1731"/>
      <c r="H1070" s="1731"/>
      <c r="I1070" s="1175"/>
      <c r="J1070" s="1175"/>
      <c r="K1070" s="1175"/>
      <c r="L1070" s="1180"/>
      <c r="M1070" s="750">
        <f t="shared" si="38"/>
        <v>140000</v>
      </c>
      <c r="O1070" s="858">
        <f>' дод 5_1'!D230</f>
        <v>284560</v>
      </c>
      <c r="P1070" s="858" t="b">
        <f t="shared" si="39"/>
        <v>1</v>
      </c>
      <c r="AD1070" s="743"/>
      <c r="AE1070" s="743"/>
      <c r="AF1070" s="743"/>
      <c r="AG1070" s="743"/>
      <c r="AH1070" s="743"/>
      <c r="AI1070" s="743"/>
    </row>
    <row r="1071" spans="1:49" x14ac:dyDescent="0.25">
      <c r="A1071" s="751" t="s">
        <v>540</v>
      </c>
      <c r="B1071" s="751"/>
      <c r="C1071" s="745" t="s">
        <v>1082</v>
      </c>
      <c r="D1071" s="619">
        <f>63800</f>
        <v>63800</v>
      </c>
      <c r="E1071" s="1730"/>
      <c r="F1071" s="1731"/>
      <c r="G1071" s="1731"/>
      <c r="H1071" s="1731"/>
      <c r="I1071" s="1175"/>
      <c r="J1071" s="1175"/>
      <c r="K1071" s="1175"/>
      <c r="L1071" s="1180"/>
      <c r="M1071" s="750">
        <f t="shared" si="38"/>
        <v>63800</v>
      </c>
      <c r="O1071" s="858">
        <f>' дод 5_1'!D241</f>
        <v>167190</v>
      </c>
      <c r="P1071" s="858" t="b">
        <f t="shared" si="39"/>
        <v>1</v>
      </c>
      <c r="AD1071" s="743"/>
      <c r="AE1071" s="743"/>
      <c r="AF1071" s="743"/>
      <c r="AG1071" s="743"/>
      <c r="AH1071" s="743"/>
      <c r="AI1071" s="743"/>
    </row>
    <row r="1072" spans="1:49" x14ac:dyDescent="0.25">
      <c r="A1072" s="751" t="s">
        <v>541</v>
      </c>
      <c r="B1072" s="751"/>
      <c r="C1072" s="745" t="s">
        <v>1083</v>
      </c>
      <c r="D1072" s="914">
        <f>50000+11000+72000+28000+78956</f>
        <v>239956</v>
      </c>
      <c r="E1072" s="1730"/>
      <c r="F1072" s="1731"/>
      <c r="G1072" s="1731"/>
      <c r="H1072" s="1731"/>
      <c r="I1072" s="1175"/>
      <c r="J1072" s="1175"/>
      <c r="K1072" s="1175"/>
      <c r="L1072" s="1180"/>
      <c r="M1072" s="750">
        <f t="shared" si="38"/>
        <v>239956</v>
      </c>
      <c r="O1072" s="858">
        <f>' дод 5_1'!D252</f>
        <v>294656</v>
      </c>
      <c r="P1072" s="858" t="b">
        <f t="shared" si="39"/>
        <v>1</v>
      </c>
      <c r="AD1072" s="743"/>
      <c r="AE1072" s="743"/>
      <c r="AF1072" s="743"/>
      <c r="AG1072" s="743"/>
      <c r="AH1072" s="743"/>
      <c r="AI1072" s="743"/>
    </row>
    <row r="1073" spans="1:16" x14ac:dyDescent="0.25">
      <c r="A1073" s="751" t="s">
        <v>542</v>
      </c>
      <c r="B1073" s="751"/>
      <c r="C1073" s="745" t="s">
        <v>1084</v>
      </c>
      <c r="D1073" s="914">
        <f>530000+268000+70549+49451</f>
        <v>918000</v>
      </c>
      <c r="E1073" s="1730"/>
      <c r="F1073" s="1731"/>
      <c r="G1073" s="1731"/>
      <c r="H1073" s="1731"/>
      <c r="I1073" s="1175"/>
      <c r="J1073" s="1175"/>
      <c r="K1073" s="1175"/>
      <c r="L1073" s="1180"/>
      <c r="M1073" s="750">
        <f t="shared" si="38"/>
        <v>918000</v>
      </c>
      <c r="O1073" s="858">
        <f>' дод 5_1'!D289</f>
        <v>1717760</v>
      </c>
      <c r="P1073" s="858" t="b">
        <f t="shared" si="39"/>
        <v>1</v>
      </c>
    </row>
    <row r="1074" spans="1:16" x14ac:dyDescent="0.25">
      <c r="A1074" s="751" t="s">
        <v>543</v>
      </c>
      <c r="B1074" s="751"/>
      <c r="C1074" s="745" t="s">
        <v>1085</v>
      </c>
      <c r="D1074" s="762">
        <v>140000</v>
      </c>
      <c r="E1074" s="1730"/>
      <c r="F1074" s="1731"/>
      <c r="G1074" s="1731"/>
      <c r="H1074" s="1731"/>
      <c r="I1074" s="1175"/>
      <c r="J1074" s="1175"/>
      <c r="K1074" s="1175"/>
      <c r="L1074" s="1180"/>
      <c r="M1074" s="750">
        <f t="shared" si="38"/>
        <v>140000</v>
      </c>
      <c r="O1074" s="858">
        <f>' дод 5_1'!D300</f>
        <v>202000</v>
      </c>
      <c r="P1074" s="858" t="b">
        <f t="shared" si="39"/>
        <v>1</v>
      </c>
    </row>
    <row r="1075" spans="1:16" x14ac:dyDescent="0.25">
      <c r="A1075" s="751" t="s">
        <v>544</v>
      </c>
      <c r="B1075" s="751"/>
      <c r="C1075" s="745" t="s">
        <v>1086</v>
      </c>
      <c r="D1075" s="762">
        <f>15000+7210</f>
        <v>22210</v>
      </c>
      <c r="E1075" s="1730"/>
      <c r="F1075" s="1731"/>
      <c r="G1075" s="1731"/>
      <c r="H1075" s="1731"/>
      <c r="I1075" s="1175"/>
      <c r="J1075" s="1175"/>
      <c r="K1075" s="1175"/>
      <c r="L1075" s="1180"/>
      <c r="M1075" s="750">
        <f t="shared" si="38"/>
        <v>22210</v>
      </c>
      <c r="O1075" s="858">
        <f>' дод 5_1'!D311</f>
        <v>39010</v>
      </c>
      <c r="P1075" s="858" t="b">
        <f t="shared" si="39"/>
        <v>1</v>
      </c>
    </row>
    <row r="1076" spans="1:16" x14ac:dyDescent="0.25">
      <c r="A1076" s="751" t="s">
        <v>545</v>
      </c>
      <c r="B1076" s="751"/>
      <c r="C1076" s="745" t="s">
        <v>1087</v>
      </c>
      <c r="D1076" s="914">
        <f>200000+55000</f>
        <v>255000</v>
      </c>
      <c r="E1076" s="1730"/>
      <c r="F1076" s="1731"/>
      <c r="G1076" s="1731"/>
      <c r="H1076" s="1731"/>
      <c r="I1076" s="1175"/>
      <c r="J1076" s="1175"/>
      <c r="K1076" s="1175"/>
      <c r="L1076" s="1180"/>
      <c r="M1076" s="750">
        <f t="shared" si="38"/>
        <v>255000</v>
      </c>
      <c r="O1076" s="858">
        <f>' дод 5_1'!D331</f>
        <v>325200</v>
      </c>
      <c r="P1076" s="858" t="b">
        <f t="shared" si="39"/>
        <v>1</v>
      </c>
    </row>
    <row r="1077" spans="1:16" x14ac:dyDescent="0.25">
      <c r="A1077" s="751" t="s">
        <v>546</v>
      </c>
      <c r="B1077" s="751"/>
      <c r="C1077" s="745" t="s">
        <v>1088</v>
      </c>
      <c r="D1077" s="914">
        <v>40000</v>
      </c>
      <c r="E1077" s="1730"/>
      <c r="F1077" s="1731"/>
      <c r="G1077" s="1731"/>
      <c r="H1077" s="1731"/>
      <c r="I1077" s="1175"/>
      <c r="J1077" s="1175"/>
      <c r="K1077" s="1175"/>
      <c r="L1077" s="1180"/>
      <c r="M1077" s="750">
        <f t="shared" si="38"/>
        <v>40000</v>
      </c>
      <c r="O1077" s="858">
        <f>' дод 5_1'!D342</f>
        <v>70330</v>
      </c>
      <c r="P1077" s="858" t="b">
        <f t="shared" si="39"/>
        <v>1</v>
      </c>
    </row>
    <row r="1078" spans="1:16" hidden="1" x14ac:dyDescent="0.25">
      <c r="A1078" s="751" t="s">
        <v>547</v>
      </c>
      <c r="B1078" s="751"/>
      <c r="C1078" s="745" t="s">
        <v>1089</v>
      </c>
      <c r="D1078" s="762">
        <v>0</v>
      </c>
      <c r="E1078" s="1730"/>
      <c r="F1078" s="1731"/>
      <c r="G1078" s="1731"/>
      <c r="H1078" s="1731"/>
      <c r="I1078" s="1175"/>
      <c r="J1078" s="1175"/>
      <c r="K1078" s="1175"/>
      <c r="L1078" s="1180"/>
      <c r="M1078" s="750">
        <f t="shared" si="38"/>
        <v>0</v>
      </c>
      <c r="O1078" s="858">
        <f>' дод 5_1'!D353</f>
        <v>2000</v>
      </c>
      <c r="P1078" s="858" t="b">
        <f t="shared" si="39"/>
        <v>1</v>
      </c>
    </row>
    <row r="1079" spans="1:16" x14ac:dyDescent="0.25">
      <c r="A1079" s="751" t="s">
        <v>548</v>
      </c>
      <c r="B1079" s="751"/>
      <c r="C1079" s="745" t="s">
        <v>1090</v>
      </c>
      <c r="D1079" s="619">
        <f>100000</f>
        <v>100000</v>
      </c>
      <c r="E1079" s="1730"/>
      <c r="F1079" s="1731"/>
      <c r="G1079" s="1731"/>
      <c r="H1079" s="1731"/>
      <c r="I1079" s="1175"/>
      <c r="J1079" s="1175"/>
      <c r="K1079" s="1175"/>
      <c r="L1079" s="1180"/>
      <c r="M1079" s="750">
        <f t="shared" si="38"/>
        <v>100000</v>
      </c>
      <c r="O1079" s="858">
        <f>' дод 5_1'!D364</f>
        <v>242390</v>
      </c>
      <c r="P1079" s="858" t="b">
        <f t="shared" si="39"/>
        <v>1</v>
      </c>
    </row>
    <row r="1080" spans="1:16" x14ac:dyDescent="0.25">
      <c r="A1080" s="751" t="s">
        <v>549</v>
      </c>
      <c r="B1080" s="751"/>
      <c r="C1080" s="745" t="s">
        <v>1091</v>
      </c>
      <c r="D1080" s="619">
        <f>27700</f>
        <v>27700</v>
      </c>
      <c r="E1080" s="1730"/>
      <c r="F1080" s="1731"/>
      <c r="G1080" s="1731"/>
      <c r="H1080" s="1731"/>
      <c r="I1080" s="1175"/>
      <c r="J1080" s="1175"/>
      <c r="K1080" s="1175"/>
      <c r="L1080" s="1180"/>
      <c r="M1080" s="750">
        <f t="shared" si="38"/>
        <v>27700</v>
      </c>
      <c r="O1080" s="858">
        <f>' дод 5_1'!D375</f>
        <v>285620</v>
      </c>
      <c r="P1080" s="858" t="b">
        <f t="shared" si="39"/>
        <v>1</v>
      </c>
    </row>
    <row r="1081" spans="1:16" x14ac:dyDescent="0.25">
      <c r="A1081" s="751" t="s">
        <v>550</v>
      </c>
      <c r="B1081" s="751"/>
      <c r="C1081" s="745" t="s">
        <v>1092</v>
      </c>
      <c r="D1081" s="914">
        <f>140000-50000+50000-40000</f>
        <v>100000</v>
      </c>
      <c r="E1081" s="1730"/>
      <c r="F1081" s="1731"/>
      <c r="G1081" s="1731"/>
      <c r="H1081" s="1731"/>
      <c r="I1081" s="1175"/>
      <c r="J1081" s="1175"/>
      <c r="K1081" s="1175"/>
      <c r="L1081" s="1180"/>
      <c r="M1081" s="750">
        <f t="shared" si="38"/>
        <v>100000</v>
      </c>
      <c r="O1081" s="858">
        <f>' дод 5_1'!D386</f>
        <v>126900</v>
      </c>
      <c r="P1081" s="858" t="b">
        <f t="shared" si="39"/>
        <v>1</v>
      </c>
    </row>
    <row r="1082" spans="1:16" x14ac:dyDescent="0.25">
      <c r="A1082" s="751" t="s">
        <v>551</v>
      </c>
      <c r="B1082" s="751"/>
      <c r="C1082" s="745" t="s">
        <v>1093</v>
      </c>
      <c r="D1082" s="762">
        <v>49500</v>
      </c>
      <c r="E1082" s="1730"/>
      <c r="F1082" s="1731"/>
      <c r="G1082" s="1731"/>
      <c r="H1082" s="1731"/>
      <c r="I1082" s="1175"/>
      <c r="J1082" s="1175"/>
      <c r="K1082" s="1175"/>
      <c r="L1082" s="1180"/>
      <c r="M1082" s="750">
        <f t="shared" si="38"/>
        <v>49500</v>
      </c>
      <c r="O1082" s="858">
        <f>' дод 5_1'!D397</f>
        <v>75851</v>
      </c>
      <c r="P1082" s="858" t="b">
        <f t="shared" si="39"/>
        <v>1</v>
      </c>
    </row>
    <row r="1083" spans="1:16" x14ac:dyDescent="0.25">
      <c r="A1083" s="751" t="s">
        <v>552</v>
      </c>
      <c r="B1083" s="751"/>
      <c r="C1083" s="745" t="s">
        <v>1094</v>
      </c>
      <c r="D1083" s="914">
        <f>295000+67000+120000</f>
        <v>482000</v>
      </c>
      <c r="E1083" s="1730"/>
      <c r="F1083" s="1731"/>
      <c r="G1083" s="1731"/>
      <c r="H1083" s="1731"/>
      <c r="I1083" s="1175"/>
      <c r="J1083" s="1175"/>
      <c r="K1083" s="1175"/>
      <c r="L1083" s="1180"/>
      <c r="M1083" s="750">
        <f t="shared" si="38"/>
        <v>482000</v>
      </c>
      <c r="O1083" s="858">
        <f>' дод 5_1'!D418</f>
        <v>583674</v>
      </c>
      <c r="P1083" s="858" t="b">
        <f t="shared" si="39"/>
        <v>1</v>
      </c>
    </row>
    <row r="1084" spans="1:16" x14ac:dyDescent="0.25">
      <c r="A1084" s="751" t="s">
        <v>553</v>
      </c>
      <c r="B1084" s="751"/>
      <c r="C1084" s="745" t="s">
        <v>1095</v>
      </c>
      <c r="D1084" s="914">
        <f>160000-52000+52000+78000+28956</f>
        <v>266956</v>
      </c>
      <c r="E1084" s="1730"/>
      <c r="F1084" s="1731"/>
      <c r="G1084" s="1731"/>
      <c r="H1084" s="1731"/>
      <c r="I1084" s="1175"/>
      <c r="J1084" s="1175"/>
      <c r="K1084" s="1175"/>
      <c r="L1084" s="1180"/>
      <c r="M1084" s="750">
        <f t="shared" si="38"/>
        <v>266956</v>
      </c>
      <c r="O1084" s="857">
        <f>' дод 5_1'!D442</f>
        <v>338659</v>
      </c>
      <c r="P1084" s="858" t="b">
        <f t="shared" si="39"/>
        <v>1</v>
      </c>
    </row>
    <row r="1085" spans="1:16" hidden="1" x14ac:dyDescent="0.25">
      <c r="A1085" s="751" t="s">
        <v>554</v>
      </c>
      <c r="B1085" s="751"/>
      <c r="C1085" s="745" t="s">
        <v>1096</v>
      </c>
      <c r="D1085" s="914">
        <f>140000+200000-340000</f>
        <v>0</v>
      </c>
      <c r="E1085" s="1730"/>
      <c r="F1085" s="1731"/>
      <c r="G1085" s="1731"/>
      <c r="H1085" s="1731"/>
      <c r="I1085" s="1175"/>
      <c r="J1085" s="1175"/>
      <c r="K1085" s="1175"/>
      <c r="L1085" s="1180"/>
      <c r="M1085" s="750">
        <f t="shared" si="38"/>
        <v>0</v>
      </c>
      <c r="O1085" s="858">
        <f>' дод 5_1'!D473</f>
        <v>290084</v>
      </c>
      <c r="P1085" s="858" t="b">
        <f>D943+D1014+D1085+D105=O1085</f>
        <v>1</v>
      </c>
    </row>
    <row r="1086" spans="1:16" x14ac:dyDescent="0.25">
      <c r="A1086" s="751" t="s">
        <v>555</v>
      </c>
      <c r="B1086" s="751"/>
      <c r="C1086" s="745" t="s">
        <v>1097</v>
      </c>
      <c r="D1086" s="619">
        <v>63800</v>
      </c>
      <c r="E1086" s="1730"/>
      <c r="F1086" s="1731"/>
      <c r="G1086" s="1731"/>
      <c r="H1086" s="1731"/>
      <c r="I1086" s="1175"/>
      <c r="J1086" s="1175"/>
      <c r="K1086" s="1175"/>
      <c r="L1086" s="1180"/>
      <c r="M1086" s="750">
        <f t="shared" si="38"/>
        <v>63800</v>
      </c>
      <c r="O1086" s="858">
        <f>' дод 5_1'!D488</f>
        <v>143760</v>
      </c>
      <c r="P1086" s="858" t="b">
        <f t="shared" si="39"/>
        <v>1</v>
      </c>
    </row>
    <row r="1087" spans="1:16" hidden="1" x14ac:dyDescent="0.25">
      <c r="A1087" s="751" t="s">
        <v>556</v>
      </c>
      <c r="B1087" s="751"/>
      <c r="C1087" s="745" t="s">
        <v>1098</v>
      </c>
      <c r="D1087" s="762"/>
      <c r="E1087" s="1730"/>
      <c r="F1087" s="1731"/>
      <c r="G1087" s="1731"/>
      <c r="H1087" s="1731"/>
      <c r="I1087" s="1175"/>
      <c r="J1087" s="1175"/>
      <c r="K1087" s="1175"/>
      <c r="L1087" s="1180"/>
      <c r="M1087" s="750">
        <f t="shared" si="38"/>
        <v>0</v>
      </c>
      <c r="O1087" s="858">
        <f>' дод 5_1'!D499</f>
        <v>69330</v>
      </c>
      <c r="P1087" s="858" t="b">
        <f t="shared" si="39"/>
        <v>1</v>
      </c>
    </row>
    <row r="1088" spans="1:16" x14ac:dyDescent="0.25">
      <c r="A1088" s="751" t="s">
        <v>557</v>
      </c>
      <c r="B1088" s="751"/>
      <c r="C1088" s="745" t="s">
        <v>1099</v>
      </c>
      <c r="D1088" s="914">
        <f>400000-100000+100000+100000+12816+150000</f>
        <v>662816</v>
      </c>
      <c r="E1088" s="1730"/>
      <c r="F1088" s="1731"/>
      <c r="G1088" s="1731"/>
      <c r="H1088" s="1731"/>
      <c r="I1088" s="1175"/>
      <c r="J1088" s="1175"/>
      <c r="K1088" s="1175"/>
      <c r="L1088" s="1180"/>
      <c r="M1088" s="750">
        <f t="shared" si="38"/>
        <v>662816</v>
      </c>
      <c r="O1088" s="858">
        <f>' дод 5_1'!D523</f>
        <v>1154296</v>
      </c>
      <c r="P1088" s="858" t="b">
        <f t="shared" si="39"/>
        <v>1</v>
      </c>
    </row>
    <row r="1089" spans="1:16" x14ac:dyDescent="0.25">
      <c r="A1089" s="751" t="s">
        <v>558</v>
      </c>
      <c r="B1089" s="751"/>
      <c r="C1089" s="745" t="s">
        <v>1100</v>
      </c>
      <c r="D1089" s="914">
        <f>12000+127490+30000+50000+20000</f>
        <v>239490</v>
      </c>
      <c r="E1089" s="1730"/>
      <c r="F1089" s="1731"/>
      <c r="G1089" s="1731"/>
      <c r="H1089" s="1731"/>
      <c r="I1089" s="1175"/>
      <c r="J1089" s="1175"/>
      <c r="K1089" s="1175"/>
      <c r="L1089" s="1180"/>
      <c r="M1089" s="750">
        <f t="shared" si="38"/>
        <v>239490</v>
      </c>
      <c r="O1089" s="858">
        <f>' дод 5_1'!D563</f>
        <v>492040</v>
      </c>
      <c r="P1089" s="858" t="b">
        <f t="shared" ref="P1089:P1120" si="40">D947+D1018+D1089+D109=O1089</f>
        <v>1</v>
      </c>
    </row>
    <row r="1090" spans="1:16" x14ac:dyDescent="0.25">
      <c r="A1090" s="751" t="s">
        <v>559</v>
      </c>
      <c r="B1090" s="751"/>
      <c r="C1090" s="745" t="s">
        <v>1101</v>
      </c>
      <c r="D1090" s="914">
        <f>50000+40000</f>
        <v>90000</v>
      </c>
      <c r="E1090" s="1730"/>
      <c r="F1090" s="1731"/>
      <c r="G1090" s="1731"/>
      <c r="H1090" s="1731"/>
      <c r="I1090" s="1175"/>
      <c r="J1090" s="1175"/>
      <c r="K1090" s="1175"/>
      <c r="L1090" s="1180"/>
      <c r="M1090" s="750">
        <f t="shared" si="38"/>
        <v>90000</v>
      </c>
      <c r="O1090" s="858">
        <f>' дод 5_1'!D574</f>
        <v>185700</v>
      </c>
      <c r="P1090" s="858" t="b">
        <f t="shared" si="40"/>
        <v>1</v>
      </c>
    </row>
    <row r="1091" spans="1:16" x14ac:dyDescent="0.25">
      <c r="A1091" s="751" t="s">
        <v>560</v>
      </c>
      <c r="B1091" s="751"/>
      <c r="C1091" s="745" t="s">
        <v>1102</v>
      </c>
      <c r="D1091" s="914">
        <v>75000</v>
      </c>
      <c r="E1091" s="1730"/>
      <c r="F1091" s="1731"/>
      <c r="G1091" s="1731"/>
      <c r="H1091" s="1731"/>
      <c r="I1091" s="1175"/>
      <c r="J1091" s="1175"/>
      <c r="K1091" s="1175"/>
      <c r="L1091" s="1180"/>
      <c r="M1091" s="750">
        <f t="shared" si="38"/>
        <v>75000</v>
      </c>
      <c r="O1091" s="858">
        <f>' дод 5_1'!D585</f>
        <v>80700</v>
      </c>
      <c r="P1091" s="858" t="b">
        <f t="shared" si="40"/>
        <v>1</v>
      </c>
    </row>
    <row r="1092" spans="1:16" x14ac:dyDescent="0.25">
      <c r="A1092" s="751" t="s">
        <v>561</v>
      </c>
      <c r="B1092" s="751"/>
      <c r="C1092" s="745" t="s">
        <v>1103</v>
      </c>
      <c r="D1092" s="914">
        <f>200000+236200+108956</f>
        <v>545156</v>
      </c>
      <c r="E1092" s="1730"/>
      <c r="F1092" s="1731"/>
      <c r="G1092" s="1731"/>
      <c r="H1092" s="1731"/>
      <c r="I1092" s="1175"/>
      <c r="J1092" s="1175"/>
      <c r="K1092" s="1175"/>
      <c r="L1092" s="1180"/>
      <c r="M1092" s="750">
        <f t="shared" si="38"/>
        <v>545156</v>
      </c>
      <c r="O1092" s="858">
        <f>' дод 5_1'!D601</f>
        <v>1193310</v>
      </c>
      <c r="P1092" s="858" t="b">
        <f t="shared" si="40"/>
        <v>1</v>
      </c>
    </row>
    <row r="1093" spans="1:16" x14ac:dyDescent="0.25">
      <c r="A1093" s="751" t="s">
        <v>562</v>
      </c>
      <c r="B1093" s="751"/>
      <c r="C1093" s="745" t="s">
        <v>1104</v>
      </c>
      <c r="D1093" s="619">
        <f>150000+563800</f>
        <v>713800</v>
      </c>
      <c r="E1093" s="1730"/>
      <c r="F1093" s="1731"/>
      <c r="G1093" s="1731"/>
      <c r="H1093" s="1731"/>
      <c r="I1093" s="1175"/>
      <c r="J1093" s="1175"/>
      <c r="K1093" s="1175"/>
      <c r="L1093" s="1180"/>
      <c r="M1093" s="750">
        <f t="shared" si="38"/>
        <v>713800</v>
      </c>
      <c r="O1093" s="858">
        <f>' дод 5_1'!D638</f>
        <v>1889370</v>
      </c>
      <c r="P1093" s="858" t="b">
        <f t="shared" si="40"/>
        <v>1</v>
      </c>
    </row>
    <row r="1094" spans="1:16" x14ac:dyDescent="0.25">
      <c r="A1094" s="751" t="s">
        <v>563</v>
      </c>
      <c r="B1094" s="751"/>
      <c r="C1094" s="745" t="s">
        <v>1105</v>
      </c>
      <c r="D1094" s="914">
        <f>200000-30000+30000+100000+35000+30000</f>
        <v>365000</v>
      </c>
      <c r="E1094" s="1730"/>
      <c r="F1094" s="1731"/>
      <c r="G1094" s="1731"/>
      <c r="H1094" s="1731"/>
      <c r="I1094" s="1175"/>
      <c r="J1094" s="1175"/>
      <c r="K1094" s="1175"/>
      <c r="L1094" s="1180"/>
      <c r="M1094" s="750">
        <f t="shared" si="38"/>
        <v>365000</v>
      </c>
      <c r="O1094" s="858">
        <f>' дод 5_1'!D663</f>
        <v>447000</v>
      </c>
      <c r="P1094" s="858" t="b">
        <f t="shared" si="40"/>
        <v>1</v>
      </c>
    </row>
    <row r="1095" spans="1:16" x14ac:dyDescent="0.25">
      <c r="A1095" s="751" t="s">
        <v>564</v>
      </c>
      <c r="B1095" s="751"/>
      <c r="C1095" s="745" t="s">
        <v>1106</v>
      </c>
      <c r="D1095" s="914">
        <f>300000+38000</f>
        <v>338000</v>
      </c>
      <c r="E1095" s="1730"/>
      <c r="F1095" s="1731"/>
      <c r="G1095" s="1731"/>
      <c r="H1095" s="1731"/>
      <c r="I1095" s="1175"/>
      <c r="J1095" s="1175"/>
      <c r="K1095" s="1175"/>
      <c r="L1095" s="1180"/>
      <c r="M1095" s="750">
        <f t="shared" si="38"/>
        <v>338000</v>
      </c>
      <c r="O1095" s="858">
        <f>' дод 5_1'!D682</f>
        <v>423644</v>
      </c>
      <c r="P1095" s="858" t="b">
        <f t="shared" si="40"/>
        <v>1</v>
      </c>
    </row>
    <row r="1096" spans="1:16" x14ac:dyDescent="0.25">
      <c r="A1096" s="751" t="s">
        <v>565</v>
      </c>
      <c r="B1096" s="751"/>
      <c r="C1096" s="745" t="s">
        <v>1107</v>
      </c>
      <c r="D1096" s="914">
        <f>295000+264800+217912</f>
        <v>777712</v>
      </c>
      <c r="E1096" s="1730"/>
      <c r="F1096" s="1731"/>
      <c r="G1096" s="1731"/>
      <c r="H1096" s="1731"/>
      <c r="I1096" s="1175"/>
      <c r="J1096" s="1175"/>
      <c r="K1096" s="1175"/>
      <c r="L1096" s="1180"/>
      <c r="M1096" s="750">
        <f t="shared" si="38"/>
        <v>777712</v>
      </c>
      <c r="O1096" s="858">
        <f>' дод 5_1'!D731</f>
        <v>1019256</v>
      </c>
      <c r="P1096" s="858" t="b">
        <f t="shared" si="40"/>
        <v>1</v>
      </c>
    </row>
    <row r="1097" spans="1:16" hidden="1" x14ac:dyDescent="0.25">
      <c r="A1097" s="751" t="s">
        <v>566</v>
      </c>
      <c r="B1097" s="751"/>
      <c r="C1097" s="745" t="s">
        <v>1108</v>
      </c>
      <c r="D1097" s="762"/>
      <c r="E1097" s="1730"/>
      <c r="F1097" s="1731"/>
      <c r="G1097" s="1731"/>
      <c r="H1097" s="1731"/>
      <c r="I1097" s="1175"/>
      <c r="J1097" s="1175"/>
      <c r="K1097" s="1175"/>
      <c r="L1097" s="1180"/>
      <c r="M1097" s="750">
        <f t="shared" si="38"/>
        <v>0</v>
      </c>
      <c r="O1097" s="858">
        <f>' дод 5_1'!D742</f>
        <v>50844</v>
      </c>
      <c r="P1097" s="858" t="b">
        <f t="shared" si="40"/>
        <v>1</v>
      </c>
    </row>
    <row r="1098" spans="1:16" hidden="1" x14ac:dyDescent="0.25">
      <c r="A1098" s="751" t="s">
        <v>567</v>
      </c>
      <c r="B1098" s="751"/>
      <c r="C1098" s="745" t="s">
        <v>1109</v>
      </c>
      <c r="D1098" s="762">
        <v>0</v>
      </c>
      <c r="E1098" s="1730"/>
      <c r="F1098" s="1731"/>
      <c r="G1098" s="1731"/>
      <c r="H1098" s="1731"/>
      <c r="I1098" s="1175"/>
      <c r="J1098" s="1175"/>
      <c r="K1098" s="1175"/>
      <c r="L1098" s="1180"/>
      <c r="M1098" s="750">
        <f t="shared" si="38"/>
        <v>0</v>
      </c>
      <c r="O1098" s="858">
        <f>' дод 5_1'!D753</f>
        <v>6500</v>
      </c>
      <c r="P1098" s="858" t="b">
        <f t="shared" si="40"/>
        <v>1</v>
      </c>
    </row>
    <row r="1099" spans="1:16" hidden="1" x14ac:dyDescent="0.25">
      <c r="A1099" s="751" t="s">
        <v>780</v>
      </c>
      <c r="B1099" s="751"/>
      <c r="C1099" s="745" t="s">
        <v>1110</v>
      </c>
      <c r="D1099" s="762"/>
      <c r="E1099" s="1730"/>
      <c r="F1099" s="1731"/>
      <c r="G1099" s="1731"/>
      <c r="H1099" s="1731"/>
      <c r="I1099" s="1175"/>
      <c r="J1099" s="1175"/>
      <c r="K1099" s="1175"/>
      <c r="L1099" s="1180"/>
      <c r="M1099" s="750">
        <f t="shared" si="38"/>
        <v>0</v>
      </c>
      <c r="O1099" s="858">
        <f>' дод 5_1'!D764</f>
        <v>12200</v>
      </c>
      <c r="P1099" s="858" t="b">
        <f t="shared" si="40"/>
        <v>1</v>
      </c>
    </row>
    <row r="1100" spans="1:16" x14ac:dyDescent="0.25">
      <c r="A1100" s="751" t="s">
        <v>781</v>
      </c>
      <c r="B1100" s="751"/>
      <c r="C1100" s="745" t="s">
        <v>1111</v>
      </c>
      <c r="D1100" s="762">
        <v>20000</v>
      </c>
      <c r="E1100" s="1730"/>
      <c r="F1100" s="1731"/>
      <c r="G1100" s="1731"/>
      <c r="H1100" s="1731"/>
      <c r="I1100" s="1175"/>
      <c r="J1100" s="1175"/>
      <c r="K1100" s="1175"/>
      <c r="L1100" s="1180"/>
      <c r="M1100" s="750">
        <f t="shared" si="38"/>
        <v>20000</v>
      </c>
      <c r="O1100" s="858">
        <f>' дод 5_1'!D775</f>
        <v>24500</v>
      </c>
      <c r="P1100" s="858" t="b">
        <f t="shared" si="40"/>
        <v>1</v>
      </c>
    </row>
    <row r="1101" spans="1:16" x14ac:dyDescent="0.25">
      <c r="A1101" s="751" t="s">
        <v>782</v>
      </c>
      <c r="B1101" s="751"/>
      <c r="C1101" s="745" t="s">
        <v>1112</v>
      </c>
      <c r="D1101" s="619">
        <v>10000</v>
      </c>
      <c r="E1101" s="1730"/>
      <c r="F1101" s="1731"/>
      <c r="G1101" s="1731"/>
      <c r="H1101" s="1731"/>
      <c r="I1101" s="1175"/>
      <c r="J1101" s="1175"/>
      <c r="K1101" s="1175"/>
      <c r="L1101" s="1180"/>
      <c r="M1101" s="750">
        <f t="shared" si="38"/>
        <v>10000</v>
      </c>
      <c r="O1101" s="858">
        <f>' дод 5_1'!D786</f>
        <v>12000</v>
      </c>
      <c r="P1101" s="858" t="b">
        <f t="shared" si="40"/>
        <v>1</v>
      </c>
    </row>
    <row r="1102" spans="1:16" x14ac:dyDescent="0.25">
      <c r="A1102" s="751" t="s">
        <v>783</v>
      </c>
      <c r="B1102" s="751"/>
      <c r="C1102" s="745" t="s">
        <v>1113</v>
      </c>
      <c r="D1102" s="914">
        <f>500000-100000+200000+50000+200000+100000-50000-200000+50800</f>
        <v>750800</v>
      </c>
      <c r="E1102" s="1730"/>
      <c r="F1102" s="1731"/>
      <c r="G1102" s="1731"/>
      <c r="H1102" s="1731"/>
      <c r="I1102" s="1175"/>
      <c r="J1102" s="1175"/>
      <c r="K1102" s="1175"/>
      <c r="L1102" s="1180"/>
      <c r="M1102" s="750">
        <f t="shared" ref="M1102:M1167" si="41">SUM(D1102:H1102)</f>
        <v>750800</v>
      </c>
      <c r="O1102" s="858">
        <f>' дод 5_1'!D807</f>
        <v>758580</v>
      </c>
      <c r="P1102" s="858" t="b">
        <f t="shared" si="40"/>
        <v>1</v>
      </c>
    </row>
    <row r="1103" spans="1:16" x14ac:dyDescent="0.25">
      <c r="A1103" s="751" t="s">
        <v>784</v>
      </c>
      <c r="B1103" s="751"/>
      <c r="C1103" s="745" t="s">
        <v>1114</v>
      </c>
      <c r="D1103" s="914">
        <f>36000+12000+150000</f>
        <v>198000</v>
      </c>
      <c r="E1103" s="1730"/>
      <c r="F1103" s="1731"/>
      <c r="G1103" s="1731"/>
      <c r="H1103" s="1731"/>
      <c r="I1103" s="1175"/>
      <c r="J1103" s="1175"/>
      <c r="K1103" s="1175"/>
      <c r="L1103" s="1180"/>
      <c r="M1103" s="750">
        <f t="shared" si="41"/>
        <v>198000</v>
      </c>
      <c r="O1103" s="858">
        <f>' дод 5_1'!D835</f>
        <v>231496</v>
      </c>
      <c r="P1103" s="858" t="b">
        <f t="shared" si="40"/>
        <v>1</v>
      </c>
    </row>
    <row r="1104" spans="1:16" hidden="1" x14ac:dyDescent="0.25">
      <c r="A1104" s="751" t="s">
        <v>785</v>
      </c>
      <c r="B1104" s="751"/>
      <c r="C1104" s="745" t="s">
        <v>1115</v>
      </c>
      <c r="D1104" s="762">
        <v>0</v>
      </c>
      <c r="E1104" s="1730"/>
      <c r="F1104" s="1731"/>
      <c r="G1104" s="1731"/>
      <c r="H1104" s="1731"/>
      <c r="I1104" s="1175"/>
      <c r="J1104" s="1175"/>
      <c r="K1104" s="1175"/>
      <c r="L1104" s="1180"/>
      <c r="M1104" s="750">
        <f t="shared" si="41"/>
        <v>0</v>
      </c>
      <c r="O1104" s="858">
        <f>' дод 5_1'!D846</f>
        <v>0</v>
      </c>
      <c r="P1104" s="858" t="b">
        <f t="shared" si="40"/>
        <v>1</v>
      </c>
    </row>
    <row r="1105" spans="1:16" x14ac:dyDescent="0.25">
      <c r="A1105" s="751" t="s">
        <v>910</v>
      </c>
      <c r="B1105" s="751"/>
      <c r="C1105" s="745" t="s">
        <v>1116</v>
      </c>
      <c r="D1105" s="914">
        <f>69960+1074700+4000+35700+178000+40000</f>
        <v>1402360</v>
      </c>
      <c r="E1105" s="1730"/>
      <c r="F1105" s="1731"/>
      <c r="G1105" s="1731"/>
      <c r="H1105" s="1731"/>
      <c r="I1105" s="1175"/>
      <c r="J1105" s="1175"/>
      <c r="K1105" s="1175"/>
      <c r="L1105" s="1180"/>
      <c r="M1105" s="750">
        <f t="shared" si="41"/>
        <v>1402360</v>
      </c>
      <c r="O1105" s="858">
        <f>' дод 5_1'!D941</f>
        <v>7305054</v>
      </c>
      <c r="P1105" s="858" t="b">
        <f t="shared" si="40"/>
        <v>1</v>
      </c>
    </row>
    <row r="1106" spans="1:16" x14ac:dyDescent="0.25">
      <c r="A1106" s="751" t="s">
        <v>911</v>
      </c>
      <c r="B1106" s="751"/>
      <c r="C1106" s="745" t="s">
        <v>1117</v>
      </c>
      <c r="D1106" s="619">
        <f>49900-49900+80000</f>
        <v>80000</v>
      </c>
      <c r="E1106" s="1730"/>
      <c r="F1106" s="1731"/>
      <c r="G1106" s="1731"/>
      <c r="H1106" s="1731"/>
      <c r="I1106" s="1175"/>
      <c r="J1106" s="1175"/>
      <c r="K1106" s="1175"/>
      <c r="L1106" s="1180"/>
      <c r="M1106" s="750">
        <f t="shared" si="41"/>
        <v>80000</v>
      </c>
      <c r="O1106" s="858">
        <f>' дод 5_1'!D972</f>
        <v>158184</v>
      </c>
      <c r="P1106" s="858" t="b">
        <f t="shared" si="40"/>
        <v>1</v>
      </c>
    </row>
    <row r="1107" spans="1:16" x14ac:dyDescent="0.25">
      <c r="A1107" s="751" t="s">
        <v>1118</v>
      </c>
      <c r="B1107" s="751"/>
      <c r="C1107" s="745" t="s">
        <v>1119</v>
      </c>
      <c r="D1107" s="914">
        <f>25000-25000+75000</f>
        <v>75000</v>
      </c>
      <c r="E1107" s="1730"/>
      <c r="F1107" s="1731"/>
      <c r="G1107" s="1731"/>
      <c r="H1107" s="1731"/>
      <c r="I1107" s="1175"/>
      <c r="J1107" s="1175"/>
      <c r="K1107" s="1175"/>
      <c r="L1107" s="1180"/>
      <c r="M1107" s="750">
        <f t="shared" si="41"/>
        <v>75000</v>
      </c>
      <c r="O1107" s="858">
        <f>' дод 5_1'!D982</f>
        <v>123200</v>
      </c>
      <c r="P1107" s="858" t="b">
        <f t="shared" si="40"/>
        <v>1</v>
      </c>
    </row>
    <row r="1108" spans="1:16" hidden="1" x14ac:dyDescent="0.25">
      <c r="A1108" s="751" t="s">
        <v>1120</v>
      </c>
      <c r="B1108" s="751"/>
      <c r="C1108" s="745" t="s">
        <v>1121</v>
      </c>
      <c r="D1108" s="762"/>
      <c r="E1108" s="1730"/>
      <c r="F1108" s="1731"/>
      <c r="G1108" s="1731"/>
      <c r="H1108" s="1731"/>
      <c r="I1108" s="1175"/>
      <c r="J1108" s="1175"/>
      <c r="K1108" s="1175"/>
      <c r="L1108" s="1180"/>
      <c r="M1108" s="750">
        <f t="shared" si="41"/>
        <v>0</v>
      </c>
      <c r="O1108" s="858">
        <f>' дод 5_1'!D993</f>
        <v>50000</v>
      </c>
      <c r="P1108" s="858" t="b">
        <f t="shared" si="40"/>
        <v>1</v>
      </c>
    </row>
    <row r="1109" spans="1:16" hidden="1" x14ac:dyDescent="0.25">
      <c r="A1109" s="751" t="s">
        <v>1122</v>
      </c>
      <c r="B1109" s="751"/>
      <c r="C1109" s="745" t="s">
        <v>1123</v>
      </c>
      <c r="D1109" s="762">
        <v>0</v>
      </c>
      <c r="E1109" s="1730"/>
      <c r="F1109" s="1731"/>
      <c r="G1109" s="1731"/>
      <c r="H1109" s="1731"/>
      <c r="I1109" s="1175"/>
      <c r="J1109" s="1175"/>
      <c r="K1109" s="1175"/>
      <c r="L1109" s="1180"/>
      <c r="M1109" s="750">
        <f t="shared" si="41"/>
        <v>0</v>
      </c>
      <c r="O1109" s="858">
        <f>' дод 5_1'!D1004</f>
        <v>1100</v>
      </c>
      <c r="P1109" s="858" t="b">
        <f t="shared" si="40"/>
        <v>1</v>
      </c>
    </row>
    <row r="1110" spans="1:16" x14ac:dyDescent="0.25">
      <c r="A1110" s="751" t="s">
        <v>1124</v>
      </c>
      <c r="B1110" s="751"/>
      <c r="C1110" s="745" t="s">
        <v>1125</v>
      </c>
      <c r="D1110" s="762">
        <f>49990</f>
        <v>49990</v>
      </c>
      <c r="E1110" s="1730"/>
      <c r="F1110" s="1731"/>
      <c r="G1110" s="1731"/>
      <c r="H1110" s="1731"/>
      <c r="I1110" s="1175"/>
      <c r="J1110" s="1175"/>
      <c r="K1110" s="1175"/>
      <c r="L1110" s="1180"/>
      <c r="M1110" s="750">
        <f t="shared" si="41"/>
        <v>49990</v>
      </c>
      <c r="O1110" s="858">
        <f>' дод 5_1'!D1015</f>
        <v>93890</v>
      </c>
      <c r="P1110" s="858" t="b">
        <f t="shared" si="40"/>
        <v>1</v>
      </c>
    </row>
    <row r="1111" spans="1:16" x14ac:dyDescent="0.25">
      <c r="A1111" s="751" t="s">
        <v>1126</v>
      </c>
      <c r="B1111" s="751"/>
      <c r="C1111" s="745" t="s">
        <v>1127</v>
      </c>
      <c r="D1111" s="914">
        <f>150000+165000+24000</f>
        <v>339000</v>
      </c>
      <c r="E1111" s="1730"/>
      <c r="F1111" s="1731"/>
      <c r="G1111" s="1731"/>
      <c r="H1111" s="1731"/>
      <c r="I1111" s="1175"/>
      <c r="J1111" s="1175"/>
      <c r="K1111" s="1175"/>
      <c r="L1111" s="1180"/>
      <c r="M1111" s="750">
        <f t="shared" si="41"/>
        <v>339000</v>
      </c>
      <c r="O1111" s="858">
        <f>' дод 5_1'!D1055</f>
        <v>584574</v>
      </c>
      <c r="P1111" s="858" t="b">
        <f t="shared" si="40"/>
        <v>1</v>
      </c>
    </row>
    <row r="1112" spans="1:16" x14ac:dyDescent="0.25">
      <c r="A1112" s="751" t="s">
        <v>1128</v>
      </c>
      <c r="B1112" s="751"/>
      <c r="C1112" s="745" t="s">
        <v>1129</v>
      </c>
      <c r="D1112" s="619">
        <f>250000+50000</f>
        <v>300000</v>
      </c>
      <c r="E1112" s="1730"/>
      <c r="F1112" s="1731"/>
      <c r="G1112" s="1731"/>
      <c r="H1112" s="1731"/>
      <c r="I1112" s="1175"/>
      <c r="J1112" s="1175"/>
      <c r="K1112" s="1175"/>
      <c r="L1112" s="1180"/>
      <c r="M1112" s="750">
        <f t="shared" si="41"/>
        <v>300000</v>
      </c>
      <c r="O1112" s="858">
        <f>' дод 5_1'!D1066</f>
        <v>330700</v>
      </c>
      <c r="P1112" s="858" t="b">
        <f t="shared" si="40"/>
        <v>1</v>
      </c>
    </row>
    <row r="1113" spans="1:16" hidden="1" x14ac:dyDescent="0.25">
      <c r="A1113" s="751" t="s">
        <v>1130</v>
      </c>
      <c r="B1113" s="751"/>
      <c r="C1113" s="745" t="s">
        <v>1131</v>
      </c>
      <c r="D1113" s="762">
        <v>0</v>
      </c>
      <c r="E1113" s="1730"/>
      <c r="F1113" s="1731"/>
      <c r="G1113" s="1731"/>
      <c r="H1113" s="1731"/>
      <c r="I1113" s="1175"/>
      <c r="J1113" s="1175"/>
      <c r="K1113" s="1175"/>
      <c r="L1113" s="1180"/>
      <c r="M1113" s="750">
        <f t="shared" si="41"/>
        <v>0</v>
      </c>
      <c r="O1113" s="858">
        <f>' дод 5_1'!D1077</f>
        <v>7000</v>
      </c>
      <c r="P1113" s="858" t="b">
        <f t="shared" si="40"/>
        <v>1</v>
      </c>
    </row>
    <row r="1114" spans="1:16" hidden="1" x14ac:dyDescent="0.25">
      <c r="A1114" s="751" t="s">
        <v>1132</v>
      </c>
      <c r="B1114" s="751"/>
      <c r="C1114" s="745" t="s">
        <v>1133</v>
      </c>
      <c r="D1114" s="762"/>
      <c r="E1114" s="1730"/>
      <c r="F1114" s="1731"/>
      <c r="G1114" s="1731"/>
      <c r="H1114" s="1731"/>
      <c r="I1114" s="1175"/>
      <c r="J1114" s="1175"/>
      <c r="K1114" s="1175"/>
      <c r="L1114" s="1180"/>
      <c r="M1114" s="750">
        <f t="shared" si="41"/>
        <v>0</v>
      </c>
      <c r="O1114" s="858">
        <f>' дод 5_1'!D1088</f>
        <v>208460</v>
      </c>
      <c r="P1114" s="858" t="b">
        <f t="shared" si="40"/>
        <v>1</v>
      </c>
    </row>
    <row r="1115" spans="1:16" x14ac:dyDescent="0.25">
      <c r="A1115" s="751" t="s">
        <v>1134</v>
      </c>
      <c r="B1115" s="751"/>
      <c r="C1115" s="745" t="s">
        <v>1135</v>
      </c>
      <c r="D1115" s="619">
        <v>100000</v>
      </c>
      <c r="E1115" s="1730"/>
      <c r="F1115" s="1731"/>
      <c r="G1115" s="1731"/>
      <c r="H1115" s="1731"/>
      <c r="I1115" s="1175"/>
      <c r="J1115" s="1175"/>
      <c r="K1115" s="1175"/>
      <c r="L1115" s="1180"/>
      <c r="M1115" s="750">
        <f t="shared" si="41"/>
        <v>100000</v>
      </c>
      <c r="O1115" s="858">
        <f>' дод 5_1'!D1099</f>
        <v>104700</v>
      </c>
      <c r="P1115" s="858" t="b">
        <f t="shared" si="40"/>
        <v>1</v>
      </c>
    </row>
    <row r="1116" spans="1:16" x14ac:dyDescent="0.25">
      <c r="A1116" s="751" t="s">
        <v>1136</v>
      </c>
      <c r="B1116" s="751"/>
      <c r="C1116" s="745" t="s">
        <v>1137</v>
      </c>
      <c r="D1116" s="914">
        <f>550000-150000+613800+40000-40000+40000+457518</f>
        <v>1511318</v>
      </c>
      <c r="E1116" s="1730"/>
      <c r="F1116" s="1731"/>
      <c r="G1116" s="1731"/>
      <c r="H1116" s="1731"/>
      <c r="I1116" s="1175"/>
      <c r="J1116" s="1175"/>
      <c r="K1116" s="1175"/>
      <c r="L1116" s="1180"/>
      <c r="M1116" s="750">
        <f t="shared" si="41"/>
        <v>1511318</v>
      </c>
      <c r="O1116" s="858">
        <f>' дод 5_1'!D1154</f>
        <v>4696092</v>
      </c>
      <c r="P1116" s="858" t="b">
        <f t="shared" si="40"/>
        <v>1</v>
      </c>
    </row>
    <row r="1117" spans="1:16" x14ac:dyDescent="0.25">
      <c r="A1117" s="751" t="s">
        <v>1138</v>
      </c>
      <c r="B1117" s="751"/>
      <c r="C1117" s="745" t="s">
        <v>1139</v>
      </c>
      <c r="D1117" s="619">
        <f>250000+40000</f>
        <v>290000</v>
      </c>
      <c r="E1117" s="1730"/>
      <c r="F1117" s="1731"/>
      <c r="G1117" s="1731"/>
      <c r="H1117" s="1731"/>
      <c r="I1117" s="1175"/>
      <c r="J1117" s="1175"/>
      <c r="K1117" s="1175"/>
      <c r="L1117" s="1180"/>
      <c r="M1117" s="750">
        <f t="shared" si="41"/>
        <v>290000</v>
      </c>
      <c r="O1117" s="858">
        <f>' дод 5_1'!D1183</f>
        <v>775984</v>
      </c>
      <c r="P1117" s="858" t="b">
        <f t="shared" si="40"/>
        <v>1</v>
      </c>
    </row>
    <row r="1118" spans="1:16" x14ac:dyDescent="0.25">
      <c r="A1118" s="751" t="s">
        <v>1140</v>
      </c>
      <c r="B1118" s="751"/>
      <c r="C1118" s="745" t="s">
        <v>1141</v>
      </c>
      <c r="D1118" s="619">
        <f>100000+25000+500000+100000+13000+249300+76900</f>
        <v>1064200</v>
      </c>
      <c r="E1118" s="1730"/>
      <c r="F1118" s="1731"/>
      <c r="G1118" s="1731"/>
      <c r="H1118" s="1731"/>
      <c r="I1118" s="1175"/>
      <c r="J1118" s="1175"/>
      <c r="K1118" s="1175"/>
      <c r="L1118" s="1180"/>
      <c r="M1118" s="750">
        <f t="shared" si="41"/>
        <v>1064200</v>
      </c>
      <c r="O1118" s="858">
        <f>' дод 5_1'!D1238</f>
        <v>1538216</v>
      </c>
      <c r="P1118" s="858" t="b">
        <f t="shared" si="40"/>
        <v>1</v>
      </c>
    </row>
    <row r="1119" spans="1:16" x14ac:dyDescent="0.25">
      <c r="A1119" s="751" t="s">
        <v>1142</v>
      </c>
      <c r="B1119" s="751"/>
      <c r="C1119" s="745" t="s">
        <v>1143</v>
      </c>
      <c r="D1119" s="619">
        <f>396620-173310+18450+18900+150000</f>
        <v>410660</v>
      </c>
      <c r="E1119" s="1730"/>
      <c r="F1119" s="1731"/>
      <c r="G1119" s="1731"/>
      <c r="H1119" s="1731"/>
      <c r="I1119" s="1175"/>
      <c r="J1119" s="1175"/>
      <c r="K1119" s="1175"/>
      <c r="L1119" s="1180"/>
      <c r="M1119" s="750">
        <f t="shared" si="41"/>
        <v>410660</v>
      </c>
      <c r="O1119" s="858">
        <f>' дод 5_1'!D1277</f>
        <v>668804</v>
      </c>
      <c r="P1119" s="858" t="b">
        <f t="shared" si="40"/>
        <v>1</v>
      </c>
    </row>
    <row r="1120" spans="1:16" x14ac:dyDescent="0.25">
      <c r="A1120" s="751" t="s">
        <v>1144</v>
      </c>
      <c r="B1120" s="751"/>
      <c r="C1120" s="745" t="s">
        <v>1145</v>
      </c>
      <c r="D1120" s="914">
        <f>200000+100000+20000</f>
        <v>320000</v>
      </c>
      <c r="E1120" s="1730"/>
      <c r="F1120" s="1731"/>
      <c r="G1120" s="1731"/>
      <c r="H1120" s="1731"/>
      <c r="I1120" s="1175"/>
      <c r="J1120" s="1175"/>
      <c r="K1120" s="1175"/>
      <c r="L1120" s="1180"/>
      <c r="M1120" s="750">
        <f t="shared" si="41"/>
        <v>320000</v>
      </c>
      <c r="O1120" s="858">
        <f>' дод 5_1'!D1302</f>
        <v>359844</v>
      </c>
      <c r="P1120" s="858" t="b">
        <f t="shared" si="40"/>
        <v>1</v>
      </c>
    </row>
    <row r="1121" spans="1:16" x14ac:dyDescent="0.25">
      <c r="A1121" s="751" t="s">
        <v>1146</v>
      </c>
      <c r="B1121" s="751"/>
      <c r="C1121" s="745" t="s">
        <v>1147</v>
      </c>
      <c r="D1121" s="914">
        <f>11000+300000+116100+23800+9156</f>
        <v>460056</v>
      </c>
      <c r="E1121" s="1730"/>
      <c r="F1121" s="1731"/>
      <c r="G1121" s="1731"/>
      <c r="H1121" s="1731"/>
      <c r="I1121" s="1175"/>
      <c r="J1121" s="1175"/>
      <c r="K1121" s="1175"/>
      <c r="L1121" s="1180"/>
      <c r="M1121" s="750">
        <f t="shared" si="41"/>
        <v>460056</v>
      </c>
      <c r="O1121" s="858">
        <f>' дод 5_1'!D1345</f>
        <v>591107</v>
      </c>
      <c r="P1121" s="858" t="b">
        <f>D979+D1050+D1121+D141=O1121</f>
        <v>1</v>
      </c>
    </row>
    <row r="1122" spans="1:16" x14ac:dyDescent="0.25">
      <c r="A1122" s="751" t="s">
        <v>1148</v>
      </c>
      <c r="B1122" s="751"/>
      <c r="C1122" s="745" t="s">
        <v>1149</v>
      </c>
      <c r="D1122" s="914">
        <f>110000-50000-10320+10320+50000</f>
        <v>110000</v>
      </c>
      <c r="E1122" s="1730"/>
      <c r="F1122" s="1731"/>
      <c r="G1122" s="1731"/>
      <c r="H1122" s="1731"/>
      <c r="I1122" s="1175"/>
      <c r="J1122" s="1175"/>
      <c r="K1122" s="1175"/>
      <c r="L1122" s="1180"/>
      <c r="M1122" s="750">
        <f t="shared" si="41"/>
        <v>110000</v>
      </c>
      <c r="O1122" s="858">
        <f>' дод 5_1'!D1356</f>
        <v>162300</v>
      </c>
      <c r="P1122" s="858" t="b">
        <f>D980+D1051+D1122+D142=O1122</f>
        <v>1</v>
      </c>
    </row>
    <row r="1123" spans="1:16" x14ac:dyDescent="0.25">
      <c r="A1123" s="751"/>
      <c r="B1123" s="751"/>
      <c r="C1123" s="745" t="s">
        <v>168</v>
      </c>
      <c r="D1123" s="914">
        <f>2672000-969811-1000000+5041901-463800-691260-4263230-279900+120905</f>
        <v>166805</v>
      </c>
      <c r="E1123" s="1736"/>
      <c r="F1123" s="1737"/>
      <c r="G1123" s="1737"/>
      <c r="H1123" s="1737"/>
      <c r="I1123" s="1176"/>
      <c r="J1123" s="1176"/>
      <c r="K1123" s="1176"/>
      <c r="L1123" s="1177"/>
      <c r="M1123" s="750">
        <f t="shared" si="41"/>
        <v>166805</v>
      </c>
      <c r="O1123" s="858">
        <f>' дод 5_1'!D1367</f>
        <v>576804</v>
      </c>
      <c r="P1123" s="858">
        <f>(D981+D1052+D1123+D143)-O1123</f>
        <v>0</v>
      </c>
    </row>
    <row r="1124" spans="1:16" ht="56.25" x14ac:dyDescent="0.25">
      <c r="A1124" s="976" t="s">
        <v>298</v>
      </c>
      <c r="B1124" s="976" t="s">
        <v>299</v>
      </c>
      <c r="C1124" s="975" t="s">
        <v>300</v>
      </c>
      <c r="D1124" s="1088">
        <f>D1125</f>
        <v>481193</v>
      </c>
      <c r="E1124" s="887"/>
      <c r="F1124" s="1173"/>
      <c r="G1124" s="1732"/>
      <c r="H1124" s="1732"/>
      <c r="I1124" s="1173"/>
      <c r="J1124" s="1173"/>
      <c r="K1124" s="1173"/>
      <c r="L1124" s="1174"/>
      <c r="M1124" s="750">
        <f t="shared" si="41"/>
        <v>481193</v>
      </c>
      <c r="O1124" s="1168" t="b">
        <f>D1124=дод3!F29</f>
        <v>1</v>
      </c>
      <c r="P1124" s="1169"/>
    </row>
    <row r="1125" spans="1:16" x14ac:dyDescent="0.25">
      <c r="A1125" s="751">
        <v>99000000000</v>
      </c>
      <c r="B1125" s="751"/>
      <c r="C1125" s="745" t="s">
        <v>1756</v>
      </c>
      <c r="D1125" s="914">
        <f>6749+42450+431994</f>
        <v>481193</v>
      </c>
      <c r="E1125" s="1736"/>
      <c r="F1125" s="1737"/>
      <c r="G1125" s="1737"/>
      <c r="H1125" s="1737"/>
      <c r="I1125" s="1212"/>
      <c r="J1125" s="1212"/>
      <c r="K1125" s="1212"/>
      <c r="L1125" s="1212"/>
      <c r="M1125" s="750">
        <f t="shared" si="41"/>
        <v>481193</v>
      </c>
      <c r="O1125" s="858"/>
      <c r="P1125" s="858"/>
    </row>
    <row r="1126" spans="1:16" ht="56.25" x14ac:dyDescent="0.25">
      <c r="A1126" s="1403" t="s">
        <v>1576</v>
      </c>
      <c r="B1126" s="1403" t="s">
        <v>299</v>
      </c>
      <c r="C1126" s="1400" t="s">
        <v>300</v>
      </c>
      <c r="D1126" s="1088">
        <f>D1127</f>
        <v>108956</v>
      </c>
      <c r="E1126" s="887"/>
      <c r="F1126" s="1404"/>
      <c r="G1126" s="1732"/>
      <c r="H1126" s="1732"/>
      <c r="I1126" s="1404"/>
      <c r="J1126" s="1404"/>
      <c r="K1126" s="1404"/>
      <c r="L1126" s="1174"/>
      <c r="M1126" s="750">
        <f>SUM(D1126:H1126)</f>
        <v>108956</v>
      </c>
      <c r="O1126" s="1168" t="b">
        <f>D1126=дод3!F82</f>
        <v>1</v>
      </c>
      <c r="P1126" s="1169"/>
    </row>
    <row r="1127" spans="1:16" x14ac:dyDescent="0.25">
      <c r="A1127" s="751">
        <v>99000000000</v>
      </c>
      <c r="B1127" s="751"/>
      <c r="C1127" s="745" t="s">
        <v>1756</v>
      </c>
      <c r="D1127" s="914">
        <v>108956</v>
      </c>
      <c r="E1127" s="1736"/>
      <c r="F1127" s="1737"/>
      <c r="G1127" s="1737"/>
      <c r="H1127" s="1737"/>
      <c r="I1127" s="1212"/>
      <c r="J1127" s="1212"/>
      <c r="K1127" s="1212"/>
      <c r="L1127" s="1212"/>
      <c r="M1127" s="750">
        <f>SUM(D1127:H1127)</f>
        <v>108956</v>
      </c>
      <c r="O1127" s="858"/>
      <c r="P1127" s="858"/>
    </row>
    <row r="1128" spans="1:16" ht="56.25" x14ac:dyDescent="0.25">
      <c r="A1128" s="976" t="s">
        <v>978</v>
      </c>
      <c r="B1128" s="976" t="s">
        <v>299</v>
      </c>
      <c r="C1128" s="975" t="s">
        <v>300</v>
      </c>
      <c r="D1128" s="1088">
        <f>D1129</f>
        <v>1058956</v>
      </c>
      <c r="E1128" s="887"/>
      <c r="F1128" s="1173"/>
      <c r="G1128" s="1732"/>
      <c r="H1128" s="1732"/>
      <c r="I1128" s="1173"/>
      <c r="J1128" s="1173"/>
      <c r="K1128" s="1173"/>
      <c r="L1128" s="1174"/>
      <c r="M1128" s="750">
        <f t="shared" si="41"/>
        <v>1058956</v>
      </c>
      <c r="O1128" s="860" t="b">
        <f>D1128=дод3!F295</f>
        <v>1</v>
      </c>
      <c r="P1128" s="861"/>
    </row>
    <row r="1129" spans="1:16" x14ac:dyDescent="0.25">
      <c r="A1129" s="751">
        <v>99000000000</v>
      </c>
      <c r="B1129" s="751"/>
      <c r="C1129" s="745" t="s">
        <v>1756</v>
      </c>
      <c r="D1129" s="914">
        <v>1058956</v>
      </c>
      <c r="E1129" s="1736"/>
      <c r="F1129" s="1737"/>
      <c r="G1129" s="1737"/>
      <c r="H1129" s="1737"/>
      <c r="I1129" s="1212"/>
      <c r="J1129" s="1212"/>
      <c r="K1129" s="1212"/>
      <c r="L1129" s="1212"/>
      <c r="M1129" s="750">
        <f t="shared" si="41"/>
        <v>1058956</v>
      </c>
      <c r="O1129" s="858"/>
      <c r="P1129" s="858"/>
    </row>
    <row r="1130" spans="1:16" ht="56.25" x14ac:dyDescent="0.25">
      <c r="A1130" s="976" t="s">
        <v>499</v>
      </c>
      <c r="B1130" s="976" t="s">
        <v>299</v>
      </c>
      <c r="C1130" s="975" t="s">
        <v>300</v>
      </c>
      <c r="D1130" s="1088">
        <f>D1131</f>
        <v>11270700</v>
      </c>
      <c r="E1130" s="887"/>
      <c r="F1130" s="1173"/>
      <c r="G1130" s="1732"/>
      <c r="H1130" s="1732"/>
      <c r="I1130" s="1173"/>
      <c r="J1130" s="1173"/>
      <c r="K1130" s="1173"/>
      <c r="L1130" s="1174"/>
      <c r="M1130" s="750">
        <f t="shared" si="41"/>
        <v>11270700</v>
      </c>
      <c r="O1130" s="860" t="b">
        <f>D1130=дод3!F313</f>
        <v>1</v>
      </c>
      <c r="P1130" s="861"/>
    </row>
    <row r="1131" spans="1:16" x14ac:dyDescent="0.25">
      <c r="A1131" s="788">
        <v>99000000000</v>
      </c>
      <c r="B1131" s="788"/>
      <c r="C1131" s="865" t="s">
        <v>1756</v>
      </c>
      <c r="D1131" s="1275">
        <v>11270700</v>
      </c>
      <c r="E1131" s="1736"/>
      <c r="F1131" s="1737"/>
      <c r="G1131" s="1737"/>
      <c r="H1131" s="1737"/>
      <c r="I1131" s="1212"/>
      <c r="J1131" s="1212"/>
      <c r="K1131" s="1212"/>
      <c r="L1131" s="1212"/>
      <c r="M1131" s="750">
        <f t="shared" si="41"/>
        <v>11270700</v>
      </c>
      <c r="O1131" s="858"/>
      <c r="P1131" s="858"/>
    </row>
    <row r="1132" spans="1:16" ht="20.25" x14ac:dyDescent="0.25">
      <c r="A1132" s="1068"/>
      <c r="B1132" s="1069"/>
      <c r="C1132" s="1069" t="s">
        <v>1154</v>
      </c>
      <c r="D1132" s="1276"/>
      <c r="E1132" s="1277"/>
      <c r="F1132" s="1277"/>
      <c r="G1132" s="1277"/>
      <c r="H1132" s="1277"/>
      <c r="I1132" s="1277"/>
      <c r="J1132" s="1277"/>
      <c r="K1132" s="1277"/>
      <c r="L1132" s="1278"/>
      <c r="M1132" s="750">
        <v>1</v>
      </c>
    </row>
    <row r="1133" spans="1:16" ht="75.599999999999994" customHeight="1" x14ac:dyDescent="0.25">
      <c r="A1133" s="1742" t="s">
        <v>303</v>
      </c>
      <c r="B1133" s="1739">
        <v>9770</v>
      </c>
      <c r="C1133" s="1768" t="s">
        <v>305</v>
      </c>
      <c r="D1133" s="1099">
        <f>SUM(D1137:D1203)</f>
        <v>6332555</v>
      </c>
      <c r="E1133" s="1780" t="s">
        <v>1175</v>
      </c>
      <c r="F1133" s="1811"/>
      <c r="G1133" s="1780" t="s">
        <v>1815</v>
      </c>
      <c r="H1133" s="1781"/>
      <c r="I1133" s="1202"/>
      <c r="J1133" s="1203"/>
      <c r="K1133" s="1203"/>
      <c r="L1133" s="1204"/>
      <c r="M1133" s="750">
        <f t="shared" si="41"/>
        <v>6332555</v>
      </c>
      <c r="O1133" s="858" t="b">
        <f>D1133=дод3!J28</f>
        <v>1</v>
      </c>
      <c r="P1133" s="851"/>
    </row>
    <row r="1134" spans="1:16" ht="46.15" customHeight="1" x14ac:dyDescent="0.25">
      <c r="A1134" s="1742"/>
      <c r="B1134" s="1739"/>
      <c r="C1134" s="1768"/>
      <c r="D1134" s="1090"/>
      <c r="E1134" s="962" t="s">
        <v>1160</v>
      </c>
      <c r="F1134" s="962" t="s">
        <v>1161</v>
      </c>
      <c r="G1134" s="1780" t="s">
        <v>1161</v>
      </c>
      <c r="H1134" s="1781"/>
      <c r="I1134" s="1188"/>
      <c r="J1134" s="1189"/>
      <c r="K1134" s="1189"/>
      <c r="L1134" s="1190"/>
      <c r="M1134" s="750">
        <v>1</v>
      </c>
      <c r="O1134" s="857" t="b">
        <f>D1274=дод3!J159</f>
        <v>1</v>
      </c>
      <c r="P1134" s="851"/>
    </row>
    <row r="1135" spans="1:16" ht="18.75" x14ac:dyDescent="0.25">
      <c r="A1135" s="1742"/>
      <c r="B1135" s="1739"/>
      <c r="C1135" s="1768"/>
      <c r="D1135" s="1090"/>
      <c r="E1135" s="1780" t="s">
        <v>739</v>
      </c>
      <c r="F1135" s="1811"/>
      <c r="G1135" s="1811"/>
      <c r="H1135" s="1781"/>
      <c r="I1135" s="1188"/>
      <c r="J1135" s="1189"/>
      <c r="K1135" s="1189"/>
      <c r="L1135" s="1190"/>
      <c r="M1135" s="750">
        <v>1</v>
      </c>
    </row>
    <row r="1136" spans="1:16" ht="31.15" customHeight="1" x14ac:dyDescent="0.25">
      <c r="A1136" s="1743"/>
      <c r="B1136" s="1740"/>
      <c r="C1136" s="1769"/>
      <c r="D1136" s="1115"/>
      <c r="E1136" s="1114">
        <f>SUM(E1137:E1203)</f>
        <v>300000</v>
      </c>
      <c r="F1136" s="1114">
        <f>SUM(F1137:F1203)</f>
        <v>508400</v>
      </c>
      <c r="G1136" s="1844">
        <f>SUBTOTAL(9,G1138:H1202)</f>
        <v>5524155</v>
      </c>
      <c r="H1136" s="1844"/>
      <c r="I1136" s="1279"/>
      <c r="J1136" s="1280"/>
      <c r="K1136" s="1280"/>
      <c r="L1136" s="1281"/>
      <c r="M1136" s="750">
        <f t="shared" si="41"/>
        <v>6332555</v>
      </c>
    </row>
    <row r="1137" spans="1:13" hidden="1" x14ac:dyDescent="0.25">
      <c r="A1137" s="751" t="s">
        <v>526</v>
      </c>
      <c r="B1137" s="751"/>
      <c r="C1137" s="745" t="s">
        <v>1060</v>
      </c>
      <c r="D1137" s="767">
        <f>SUM(E1137:H1137)</f>
        <v>0</v>
      </c>
      <c r="E1137" s="967"/>
      <c r="F1137" s="967"/>
      <c r="G1137" s="1765"/>
      <c r="H1137" s="1766"/>
      <c r="I1137" s="1171"/>
      <c r="J1137" s="1282"/>
      <c r="K1137" s="1282"/>
      <c r="L1137" s="1172"/>
      <c r="M1137" s="750">
        <f t="shared" si="41"/>
        <v>0</v>
      </c>
    </row>
    <row r="1138" spans="1:13" x14ac:dyDescent="0.25">
      <c r="A1138" s="751" t="s">
        <v>527</v>
      </c>
      <c r="B1138" s="751"/>
      <c r="C1138" s="745" t="s">
        <v>1069</v>
      </c>
      <c r="D1138" s="767">
        <f t="shared" ref="D1138:D1201" si="42">SUM(E1138:H1138)</f>
        <v>50000</v>
      </c>
      <c r="E1138" s="968"/>
      <c r="F1138" s="968"/>
      <c r="G1138" s="1763">
        <v>50000</v>
      </c>
      <c r="H1138" s="1764"/>
      <c r="I1138" s="1171"/>
      <c r="J1138" s="1282"/>
      <c r="K1138" s="1282"/>
      <c r="L1138" s="1172"/>
      <c r="M1138" s="750">
        <f t="shared" si="41"/>
        <v>100000</v>
      </c>
    </row>
    <row r="1139" spans="1:13" hidden="1" x14ac:dyDescent="0.25">
      <c r="A1139" s="751" t="s">
        <v>528</v>
      </c>
      <c r="B1139" s="751"/>
      <c r="C1139" s="745" t="s">
        <v>1070</v>
      </c>
      <c r="D1139" s="767">
        <f t="shared" si="42"/>
        <v>0</v>
      </c>
      <c r="E1139" s="968"/>
      <c r="F1139" s="968"/>
      <c r="G1139" s="1765"/>
      <c r="H1139" s="1766"/>
      <c r="I1139" s="1171"/>
      <c r="J1139" s="1282"/>
      <c r="K1139" s="1282"/>
      <c r="L1139" s="1172"/>
      <c r="M1139" s="750">
        <f t="shared" si="41"/>
        <v>0</v>
      </c>
    </row>
    <row r="1140" spans="1:13" hidden="1" x14ac:dyDescent="0.25">
      <c r="A1140" s="751" t="s">
        <v>529</v>
      </c>
      <c r="B1140" s="751"/>
      <c r="C1140" s="745" t="s">
        <v>1071</v>
      </c>
      <c r="D1140" s="767">
        <f t="shared" si="42"/>
        <v>0</v>
      </c>
      <c r="E1140" s="968"/>
      <c r="F1140" s="968"/>
      <c r="G1140" s="1765"/>
      <c r="H1140" s="1766"/>
      <c r="I1140" s="1171"/>
      <c r="J1140" s="1282"/>
      <c r="K1140" s="1282"/>
      <c r="L1140" s="1172"/>
      <c r="M1140" s="750">
        <f t="shared" si="41"/>
        <v>0</v>
      </c>
    </row>
    <row r="1141" spans="1:13" hidden="1" x14ac:dyDescent="0.25">
      <c r="A1141" s="751" t="s">
        <v>530</v>
      </c>
      <c r="B1141" s="751"/>
      <c r="C1141" s="745" t="s">
        <v>1072</v>
      </c>
      <c r="D1141" s="767">
        <f t="shared" si="42"/>
        <v>0</v>
      </c>
      <c r="E1141" s="968"/>
      <c r="F1141" s="968"/>
      <c r="G1141" s="1765"/>
      <c r="H1141" s="1766"/>
      <c r="I1141" s="1171"/>
      <c r="J1141" s="1282"/>
      <c r="K1141" s="1282"/>
      <c r="L1141" s="1172"/>
      <c r="M1141" s="750">
        <f t="shared" si="41"/>
        <v>0</v>
      </c>
    </row>
    <row r="1142" spans="1:13" hidden="1" x14ac:dyDescent="0.25">
      <c r="A1142" s="751" t="s">
        <v>531</v>
      </c>
      <c r="B1142" s="751"/>
      <c r="C1142" s="745" t="s">
        <v>1073</v>
      </c>
      <c r="D1142" s="767">
        <f t="shared" si="42"/>
        <v>0</v>
      </c>
      <c r="E1142" s="968"/>
      <c r="F1142" s="968"/>
      <c r="G1142" s="1765"/>
      <c r="H1142" s="1766"/>
      <c r="I1142" s="1171"/>
      <c r="J1142" s="1282"/>
      <c r="K1142" s="1282"/>
      <c r="L1142" s="1172"/>
      <c r="M1142" s="750">
        <f t="shared" si="41"/>
        <v>0</v>
      </c>
    </row>
    <row r="1143" spans="1:13" hidden="1" x14ac:dyDescent="0.25">
      <c r="A1143" s="751" t="s">
        <v>532</v>
      </c>
      <c r="B1143" s="751"/>
      <c r="C1143" s="745" t="s">
        <v>1074</v>
      </c>
      <c r="D1143" s="767">
        <f t="shared" si="42"/>
        <v>0</v>
      </c>
      <c r="E1143" s="968"/>
      <c r="F1143" s="968"/>
      <c r="G1143" s="1765"/>
      <c r="H1143" s="1766"/>
      <c r="I1143" s="1171"/>
      <c r="J1143" s="1282"/>
      <c r="K1143" s="1282"/>
      <c r="L1143" s="1172"/>
      <c r="M1143" s="750">
        <f t="shared" si="41"/>
        <v>0</v>
      </c>
    </row>
    <row r="1144" spans="1:13" hidden="1" x14ac:dyDescent="0.25">
      <c r="A1144" s="751" t="s">
        <v>533</v>
      </c>
      <c r="B1144" s="751"/>
      <c r="C1144" s="745" t="s">
        <v>1075</v>
      </c>
      <c r="D1144" s="767">
        <f t="shared" si="42"/>
        <v>0</v>
      </c>
      <c r="E1144" s="968"/>
      <c r="F1144" s="968"/>
      <c r="G1144" s="1765"/>
      <c r="H1144" s="1766"/>
      <c r="I1144" s="1171"/>
      <c r="J1144" s="1282"/>
      <c r="K1144" s="1282"/>
      <c r="L1144" s="1172"/>
      <c r="M1144" s="750">
        <f t="shared" si="41"/>
        <v>0</v>
      </c>
    </row>
    <row r="1145" spans="1:13" hidden="1" x14ac:dyDescent="0.25">
      <c r="A1145" s="751" t="s">
        <v>534</v>
      </c>
      <c r="B1145" s="751"/>
      <c r="C1145" s="745" t="s">
        <v>1076</v>
      </c>
      <c r="D1145" s="767">
        <f t="shared" si="42"/>
        <v>0</v>
      </c>
      <c r="E1145" s="968"/>
      <c r="F1145" s="968"/>
      <c r="G1145" s="1765"/>
      <c r="H1145" s="1766"/>
      <c r="I1145" s="1171"/>
      <c r="J1145" s="1282"/>
      <c r="K1145" s="1282"/>
      <c r="L1145" s="1172"/>
      <c r="M1145" s="750">
        <f t="shared" si="41"/>
        <v>0</v>
      </c>
    </row>
    <row r="1146" spans="1:13" hidden="1" x14ac:dyDescent="0.25">
      <c r="A1146" s="751" t="s">
        <v>535</v>
      </c>
      <c r="B1146" s="751"/>
      <c r="C1146" s="745" t="s">
        <v>1077</v>
      </c>
      <c r="D1146" s="767">
        <f t="shared" si="42"/>
        <v>0</v>
      </c>
      <c r="E1146" s="968"/>
      <c r="F1146" s="968"/>
      <c r="G1146" s="1765"/>
      <c r="H1146" s="1766"/>
      <c r="I1146" s="1171"/>
      <c r="J1146" s="1282"/>
      <c r="K1146" s="1282"/>
      <c r="L1146" s="1172"/>
      <c r="M1146" s="750">
        <f t="shared" si="41"/>
        <v>0</v>
      </c>
    </row>
    <row r="1147" spans="1:13" hidden="1" x14ac:dyDescent="0.25">
      <c r="A1147" s="751" t="s">
        <v>536</v>
      </c>
      <c r="B1147" s="751"/>
      <c r="C1147" s="745" t="s">
        <v>1078</v>
      </c>
      <c r="D1147" s="767">
        <f t="shared" si="42"/>
        <v>0</v>
      </c>
      <c r="E1147" s="968"/>
      <c r="F1147" s="968"/>
      <c r="G1147" s="1765"/>
      <c r="H1147" s="1766"/>
      <c r="I1147" s="1171"/>
      <c r="J1147" s="1282"/>
      <c r="K1147" s="1282"/>
      <c r="L1147" s="1172"/>
      <c r="M1147" s="750">
        <f t="shared" si="41"/>
        <v>0</v>
      </c>
    </row>
    <row r="1148" spans="1:13" x14ac:dyDescent="0.25">
      <c r="A1148" s="751" t="s">
        <v>537</v>
      </c>
      <c r="B1148" s="751"/>
      <c r="C1148" s="745" t="s">
        <v>1079</v>
      </c>
      <c r="D1148" s="1116">
        <f t="shared" si="42"/>
        <v>36000</v>
      </c>
      <c r="E1148" s="926"/>
      <c r="F1148" s="926"/>
      <c r="G1148" s="1761">
        <v>36000</v>
      </c>
      <c r="H1148" s="1762"/>
      <c r="I1148" s="1171"/>
      <c r="J1148" s="1282"/>
      <c r="K1148" s="1282"/>
      <c r="L1148" s="1172"/>
      <c r="M1148" s="750">
        <f t="shared" si="41"/>
        <v>72000</v>
      </c>
    </row>
    <row r="1149" spans="1:13" x14ac:dyDescent="0.25">
      <c r="A1149" s="751" t="s">
        <v>538</v>
      </c>
      <c r="B1149" s="751"/>
      <c r="C1149" s="745" t="s">
        <v>1080</v>
      </c>
      <c r="D1149" s="767">
        <f t="shared" si="42"/>
        <v>584688</v>
      </c>
      <c r="E1149" s="968"/>
      <c r="F1149" s="968"/>
      <c r="G1149" s="1763">
        <v>584688</v>
      </c>
      <c r="H1149" s="1764"/>
      <c r="I1149" s="1171"/>
      <c r="J1149" s="1282"/>
      <c r="K1149" s="1282"/>
      <c r="L1149" s="1172"/>
      <c r="M1149" s="750">
        <f t="shared" si="41"/>
        <v>1169376</v>
      </c>
    </row>
    <row r="1150" spans="1:13" hidden="1" x14ac:dyDescent="0.25">
      <c r="A1150" s="751" t="s">
        <v>539</v>
      </c>
      <c r="B1150" s="751"/>
      <c r="C1150" s="745" t="s">
        <v>1081</v>
      </c>
      <c r="D1150" s="767">
        <f t="shared" si="42"/>
        <v>0</v>
      </c>
      <c r="E1150" s="968"/>
      <c r="F1150" s="968"/>
      <c r="G1150" s="1765"/>
      <c r="H1150" s="1766"/>
      <c r="I1150" s="1171"/>
      <c r="J1150" s="1282"/>
      <c r="K1150" s="1282"/>
      <c r="L1150" s="1172"/>
      <c r="M1150" s="750">
        <f t="shared" si="41"/>
        <v>0</v>
      </c>
    </row>
    <row r="1151" spans="1:13" x14ac:dyDescent="0.25">
      <c r="A1151" s="751" t="s">
        <v>540</v>
      </c>
      <c r="B1151" s="751"/>
      <c r="C1151" s="745" t="s">
        <v>1082</v>
      </c>
      <c r="D1151" s="767">
        <f t="shared" si="42"/>
        <v>200000</v>
      </c>
      <c r="E1151" s="968"/>
      <c r="F1151" s="968"/>
      <c r="G1151" s="1763">
        <v>200000</v>
      </c>
      <c r="H1151" s="1764"/>
      <c r="I1151" s="1171"/>
      <c r="J1151" s="1282"/>
      <c r="K1151" s="1282"/>
      <c r="L1151" s="1172"/>
      <c r="M1151" s="750">
        <f t="shared" si="41"/>
        <v>400000</v>
      </c>
    </row>
    <row r="1152" spans="1:13" hidden="1" x14ac:dyDescent="0.25">
      <c r="A1152" s="751" t="s">
        <v>541</v>
      </c>
      <c r="B1152" s="751"/>
      <c r="C1152" s="745" t="s">
        <v>1083</v>
      </c>
      <c r="D1152" s="767">
        <f t="shared" si="42"/>
        <v>0</v>
      </c>
      <c r="E1152" s="968"/>
      <c r="F1152" s="968"/>
      <c r="G1152" s="1765"/>
      <c r="H1152" s="1766"/>
      <c r="I1152" s="1171"/>
      <c r="J1152" s="1282"/>
      <c r="K1152" s="1282"/>
      <c r="L1152" s="1172"/>
      <c r="M1152" s="750">
        <f t="shared" si="41"/>
        <v>0</v>
      </c>
    </row>
    <row r="1153" spans="1:13" x14ac:dyDescent="0.25">
      <c r="A1153" s="751" t="s">
        <v>542</v>
      </c>
      <c r="B1153" s="751"/>
      <c r="C1153" s="745" t="s">
        <v>1084</v>
      </c>
      <c r="D1153" s="767">
        <f t="shared" si="42"/>
        <v>217294</v>
      </c>
      <c r="E1153" s="968"/>
      <c r="F1153" s="968"/>
      <c r="G1153" s="1763">
        <v>217294</v>
      </c>
      <c r="H1153" s="1764"/>
      <c r="I1153" s="1171"/>
      <c r="J1153" s="1282"/>
      <c r="K1153" s="1282"/>
      <c r="L1153" s="1172"/>
      <c r="M1153" s="750">
        <f t="shared" si="41"/>
        <v>434588</v>
      </c>
    </row>
    <row r="1154" spans="1:13" x14ac:dyDescent="0.25">
      <c r="A1154" s="751" t="s">
        <v>543</v>
      </c>
      <c r="B1154" s="751"/>
      <c r="C1154" s="745" t="s">
        <v>1085</v>
      </c>
      <c r="D1154" s="767">
        <f t="shared" si="42"/>
        <v>124980</v>
      </c>
      <c r="E1154" s="968"/>
      <c r="F1154" s="968"/>
      <c r="G1154" s="1763">
        <v>124980</v>
      </c>
      <c r="H1154" s="1764"/>
      <c r="I1154" s="1171"/>
      <c r="J1154" s="1282"/>
      <c r="K1154" s="1282"/>
      <c r="L1154" s="1172"/>
      <c r="M1154" s="750">
        <f t="shared" si="41"/>
        <v>249960</v>
      </c>
    </row>
    <row r="1155" spans="1:13" hidden="1" x14ac:dyDescent="0.25">
      <c r="A1155" s="751" t="s">
        <v>544</v>
      </c>
      <c r="B1155" s="751"/>
      <c r="C1155" s="745" t="s">
        <v>1086</v>
      </c>
      <c r="D1155" s="767">
        <f t="shared" si="42"/>
        <v>0</v>
      </c>
      <c r="E1155" s="968"/>
      <c r="F1155" s="968"/>
      <c r="G1155" s="1765"/>
      <c r="H1155" s="1766"/>
      <c r="I1155" s="1171"/>
      <c r="J1155" s="1282"/>
      <c r="K1155" s="1282"/>
      <c r="L1155" s="1172"/>
      <c r="M1155" s="750">
        <f t="shared" si="41"/>
        <v>0</v>
      </c>
    </row>
    <row r="1156" spans="1:13" x14ac:dyDescent="0.25">
      <c r="A1156" s="751" t="s">
        <v>545</v>
      </c>
      <c r="B1156" s="751"/>
      <c r="C1156" s="745" t="s">
        <v>1087</v>
      </c>
      <c r="D1156" s="767">
        <f t="shared" si="42"/>
        <v>20000</v>
      </c>
      <c r="E1156" s="968"/>
      <c r="F1156" s="968"/>
      <c r="G1156" s="1763">
        <v>20000</v>
      </c>
      <c r="H1156" s="1764"/>
      <c r="I1156" s="1171"/>
      <c r="J1156" s="1282"/>
      <c r="K1156" s="1282"/>
      <c r="L1156" s="1172"/>
      <c r="M1156" s="750">
        <f t="shared" si="41"/>
        <v>40000</v>
      </c>
    </row>
    <row r="1157" spans="1:13" hidden="1" x14ac:dyDescent="0.25">
      <c r="A1157" s="751" t="s">
        <v>546</v>
      </c>
      <c r="B1157" s="751"/>
      <c r="C1157" s="745" t="s">
        <v>1088</v>
      </c>
      <c r="D1157" s="767">
        <f t="shared" si="42"/>
        <v>0</v>
      </c>
      <c r="E1157" s="968"/>
      <c r="F1157" s="968"/>
      <c r="G1157" s="1765"/>
      <c r="H1157" s="1766"/>
      <c r="I1157" s="1171"/>
      <c r="J1157" s="1282"/>
      <c r="K1157" s="1282"/>
      <c r="L1157" s="1172"/>
      <c r="M1157" s="750">
        <f t="shared" si="41"/>
        <v>0</v>
      </c>
    </row>
    <row r="1158" spans="1:13" hidden="1" x14ac:dyDescent="0.25">
      <c r="A1158" s="751" t="s">
        <v>547</v>
      </c>
      <c r="B1158" s="751"/>
      <c r="C1158" s="745" t="s">
        <v>1089</v>
      </c>
      <c r="D1158" s="767">
        <f t="shared" si="42"/>
        <v>0</v>
      </c>
      <c r="E1158" s="968"/>
      <c r="F1158" s="968"/>
      <c r="G1158" s="1765"/>
      <c r="H1158" s="1766"/>
      <c r="I1158" s="1171"/>
      <c r="J1158" s="1282"/>
      <c r="K1158" s="1282"/>
      <c r="L1158" s="1172"/>
      <c r="M1158" s="750">
        <f t="shared" si="41"/>
        <v>0</v>
      </c>
    </row>
    <row r="1159" spans="1:13" hidden="1" x14ac:dyDescent="0.25">
      <c r="A1159" s="751" t="s">
        <v>548</v>
      </c>
      <c r="B1159" s="751"/>
      <c r="C1159" s="745" t="s">
        <v>1090</v>
      </c>
      <c r="D1159" s="767">
        <f t="shared" si="42"/>
        <v>0</v>
      </c>
      <c r="E1159" s="968"/>
      <c r="F1159" s="968"/>
      <c r="G1159" s="1765"/>
      <c r="H1159" s="1766"/>
      <c r="I1159" s="1171"/>
      <c r="J1159" s="1282"/>
      <c r="K1159" s="1282"/>
      <c r="L1159" s="1172"/>
      <c r="M1159" s="750">
        <f t="shared" si="41"/>
        <v>0</v>
      </c>
    </row>
    <row r="1160" spans="1:13" hidden="1" x14ac:dyDescent="0.25">
      <c r="A1160" s="751" t="s">
        <v>549</v>
      </c>
      <c r="B1160" s="751"/>
      <c r="C1160" s="745" t="s">
        <v>1091</v>
      </c>
      <c r="D1160" s="767">
        <f t="shared" si="42"/>
        <v>0</v>
      </c>
      <c r="E1160" s="968"/>
      <c r="F1160" s="968"/>
      <c r="G1160" s="1765"/>
      <c r="H1160" s="1766"/>
      <c r="I1160" s="1171"/>
      <c r="J1160" s="1282"/>
      <c r="K1160" s="1282"/>
      <c r="L1160" s="1172"/>
      <c r="M1160" s="750">
        <f t="shared" si="41"/>
        <v>0</v>
      </c>
    </row>
    <row r="1161" spans="1:13" x14ac:dyDescent="0.25">
      <c r="A1161" s="751" t="s">
        <v>550</v>
      </c>
      <c r="B1161" s="751"/>
      <c r="C1161" s="745" t="s">
        <v>1092</v>
      </c>
      <c r="D1161" s="767">
        <f t="shared" si="42"/>
        <v>100000</v>
      </c>
      <c r="E1161" s="968"/>
      <c r="F1161" s="968"/>
      <c r="G1161" s="1763">
        <v>100000</v>
      </c>
      <c r="H1161" s="1764"/>
      <c r="I1161" s="1171"/>
      <c r="J1161" s="1282"/>
      <c r="K1161" s="1282"/>
      <c r="L1161" s="1172"/>
      <c r="M1161" s="750">
        <f t="shared" si="41"/>
        <v>200000</v>
      </c>
    </row>
    <row r="1162" spans="1:13" hidden="1" x14ac:dyDescent="0.25">
      <c r="A1162" s="751" t="s">
        <v>551</v>
      </c>
      <c r="B1162" s="751"/>
      <c r="C1162" s="745" t="s">
        <v>1093</v>
      </c>
      <c r="D1162" s="767">
        <f t="shared" si="42"/>
        <v>0</v>
      </c>
      <c r="E1162" s="968"/>
      <c r="F1162" s="968"/>
      <c r="G1162" s="1765"/>
      <c r="H1162" s="1766"/>
      <c r="I1162" s="1171"/>
      <c r="J1162" s="1282"/>
      <c r="K1162" s="1282"/>
      <c r="L1162" s="1172"/>
      <c r="M1162" s="750">
        <f t="shared" si="41"/>
        <v>0</v>
      </c>
    </row>
    <row r="1163" spans="1:13" x14ac:dyDescent="0.25">
      <c r="A1163" s="751" t="s">
        <v>552</v>
      </c>
      <c r="B1163" s="751"/>
      <c r="C1163" s="745" t="s">
        <v>1094</v>
      </c>
      <c r="D1163" s="767">
        <f t="shared" si="42"/>
        <v>49900</v>
      </c>
      <c r="E1163" s="968"/>
      <c r="F1163" s="968"/>
      <c r="G1163" s="1763">
        <v>49900</v>
      </c>
      <c r="H1163" s="1764"/>
      <c r="I1163" s="1171"/>
      <c r="J1163" s="1282"/>
      <c r="K1163" s="1282"/>
      <c r="L1163" s="1172"/>
      <c r="M1163" s="750">
        <f t="shared" si="41"/>
        <v>99800</v>
      </c>
    </row>
    <row r="1164" spans="1:13" x14ac:dyDescent="0.25">
      <c r="A1164" s="751" t="s">
        <v>553</v>
      </c>
      <c r="B1164" s="751"/>
      <c r="C1164" s="745" t="s">
        <v>1095</v>
      </c>
      <c r="D1164" s="1116">
        <f t="shared" si="42"/>
        <v>227244</v>
      </c>
      <c r="E1164" s="926"/>
      <c r="F1164" s="926"/>
      <c r="G1164" s="1761">
        <f>36200+191044</f>
        <v>227244</v>
      </c>
      <c r="H1164" s="1762"/>
      <c r="I1164" s="1171"/>
      <c r="J1164" s="1282"/>
      <c r="K1164" s="1282"/>
      <c r="L1164" s="1172"/>
      <c r="M1164" s="750">
        <f t="shared" si="41"/>
        <v>454488</v>
      </c>
    </row>
    <row r="1165" spans="1:13" x14ac:dyDescent="0.25">
      <c r="A1165" s="751" t="s">
        <v>554</v>
      </c>
      <c r="B1165" s="751"/>
      <c r="C1165" s="745" t="s">
        <v>1096</v>
      </c>
      <c r="D1165" s="767">
        <f t="shared" si="42"/>
        <v>128000</v>
      </c>
      <c r="E1165" s="968"/>
      <c r="F1165" s="968"/>
      <c r="G1165" s="1763">
        <v>128000</v>
      </c>
      <c r="H1165" s="1764"/>
      <c r="I1165" s="1171"/>
      <c r="J1165" s="1282"/>
      <c r="K1165" s="1282"/>
      <c r="L1165" s="1172"/>
      <c r="M1165" s="750">
        <f t="shared" si="41"/>
        <v>256000</v>
      </c>
    </row>
    <row r="1166" spans="1:13" x14ac:dyDescent="0.25">
      <c r="A1166" s="751" t="s">
        <v>555</v>
      </c>
      <c r="B1166" s="751"/>
      <c r="C1166" s="745" t="s">
        <v>1097</v>
      </c>
      <c r="D1166" s="767">
        <f t="shared" si="42"/>
        <v>101044</v>
      </c>
      <c r="E1166" s="968"/>
      <c r="F1166" s="968"/>
      <c r="G1166" s="1763">
        <v>101044</v>
      </c>
      <c r="H1166" s="1764"/>
      <c r="I1166" s="1171"/>
      <c r="J1166" s="1282"/>
      <c r="K1166" s="1282"/>
      <c r="L1166" s="1172"/>
      <c r="M1166" s="750">
        <f t="shared" si="41"/>
        <v>202088</v>
      </c>
    </row>
    <row r="1167" spans="1:13" x14ac:dyDescent="0.25">
      <c r="A1167" s="751" t="s">
        <v>556</v>
      </c>
      <c r="B1167" s="751"/>
      <c r="C1167" s="745" t="s">
        <v>1098</v>
      </c>
      <c r="D1167" s="767">
        <f t="shared" si="42"/>
        <v>60000</v>
      </c>
      <c r="E1167" s="968"/>
      <c r="F1167" s="968"/>
      <c r="G1167" s="1763">
        <v>60000</v>
      </c>
      <c r="H1167" s="1764"/>
      <c r="I1167" s="1171"/>
      <c r="J1167" s="1282"/>
      <c r="K1167" s="1282"/>
      <c r="L1167" s="1172"/>
      <c r="M1167" s="750">
        <f t="shared" si="41"/>
        <v>120000</v>
      </c>
    </row>
    <row r="1168" spans="1:13" x14ac:dyDescent="0.25">
      <c r="A1168" s="751" t="s">
        <v>557</v>
      </c>
      <c r="B1168" s="751"/>
      <c r="C1168" s="745" t="s">
        <v>1099</v>
      </c>
      <c r="D1168" s="767">
        <f t="shared" si="42"/>
        <v>91044</v>
      </c>
      <c r="E1168" s="968"/>
      <c r="F1168" s="968"/>
      <c r="G1168" s="1763">
        <v>91044</v>
      </c>
      <c r="H1168" s="1764"/>
      <c r="I1168" s="1171"/>
      <c r="J1168" s="1282"/>
      <c r="K1168" s="1282"/>
      <c r="L1168" s="1172"/>
      <c r="M1168" s="750">
        <f t="shared" ref="M1168:M1204" si="43">SUM(D1168:H1168)</f>
        <v>182088</v>
      </c>
    </row>
    <row r="1169" spans="1:13" x14ac:dyDescent="0.25">
      <c r="A1169" s="751" t="s">
        <v>558</v>
      </c>
      <c r="B1169" s="751"/>
      <c r="C1169" s="745" t="s">
        <v>1100</v>
      </c>
      <c r="D1169" s="767">
        <f t="shared" si="42"/>
        <v>40000</v>
      </c>
      <c r="E1169" s="968"/>
      <c r="F1169" s="968"/>
      <c r="G1169" s="1763">
        <v>40000</v>
      </c>
      <c r="H1169" s="1764"/>
      <c r="I1169" s="1171"/>
      <c r="J1169" s="1282"/>
      <c r="K1169" s="1282"/>
      <c r="L1169" s="1172"/>
      <c r="M1169" s="750">
        <f t="shared" si="43"/>
        <v>80000</v>
      </c>
    </row>
    <row r="1170" spans="1:13" x14ac:dyDescent="0.25">
      <c r="A1170" s="751" t="s">
        <v>559</v>
      </c>
      <c r="B1170" s="751"/>
      <c r="C1170" s="745" t="s">
        <v>1101</v>
      </c>
      <c r="D1170" s="767">
        <f t="shared" si="42"/>
        <v>18000</v>
      </c>
      <c r="E1170" s="968"/>
      <c r="F1170" s="968"/>
      <c r="G1170" s="1763">
        <v>18000</v>
      </c>
      <c r="H1170" s="1764"/>
      <c r="I1170" s="1171"/>
      <c r="J1170" s="1282"/>
      <c r="K1170" s="1282"/>
      <c r="L1170" s="1172"/>
      <c r="M1170" s="750">
        <f t="shared" si="43"/>
        <v>36000</v>
      </c>
    </row>
    <row r="1171" spans="1:13" hidden="1" x14ac:dyDescent="0.25">
      <c r="A1171" s="751" t="s">
        <v>560</v>
      </c>
      <c r="B1171" s="751"/>
      <c r="C1171" s="745" t="s">
        <v>1102</v>
      </c>
      <c r="D1171" s="767">
        <f t="shared" si="42"/>
        <v>0</v>
      </c>
      <c r="E1171" s="968"/>
      <c r="F1171" s="968"/>
      <c r="G1171" s="1765"/>
      <c r="H1171" s="1766"/>
      <c r="I1171" s="1171"/>
      <c r="J1171" s="1282"/>
      <c r="K1171" s="1282"/>
      <c r="L1171" s="1172"/>
      <c r="M1171" s="750">
        <f t="shared" si="43"/>
        <v>0</v>
      </c>
    </row>
    <row r="1172" spans="1:13" x14ac:dyDescent="0.25">
      <c r="A1172" s="751" t="s">
        <v>561</v>
      </c>
      <c r="B1172" s="751"/>
      <c r="C1172" s="745" t="s">
        <v>1103</v>
      </c>
      <c r="D1172" s="767">
        <f t="shared" si="42"/>
        <v>687600</v>
      </c>
      <c r="E1172" s="968">
        <v>179200</v>
      </c>
      <c r="F1172" s="968">
        <v>508400</v>
      </c>
      <c r="G1172" s="1763"/>
      <c r="H1172" s="1764"/>
      <c r="I1172" s="1171"/>
      <c r="J1172" s="1282"/>
      <c r="K1172" s="1282"/>
      <c r="L1172" s="1172"/>
      <c r="M1172" s="750">
        <f t="shared" si="43"/>
        <v>1375200</v>
      </c>
    </row>
    <row r="1173" spans="1:13" x14ac:dyDescent="0.25">
      <c r="A1173" s="751" t="s">
        <v>562</v>
      </c>
      <c r="B1173" s="751"/>
      <c r="C1173" s="745" t="s">
        <v>1104</v>
      </c>
      <c r="D1173" s="767">
        <f t="shared" si="42"/>
        <v>182000</v>
      </c>
      <c r="E1173" s="968"/>
      <c r="F1173" s="968"/>
      <c r="G1173" s="1763">
        <v>182000</v>
      </c>
      <c r="H1173" s="1764"/>
      <c r="I1173" s="1171"/>
      <c r="J1173" s="1282"/>
      <c r="K1173" s="1282"/>
      <c r="L1173" s="1172"/>
      <c r="M1173" s="750">
        <f t="shared" si="43"/>
        <v>364000</v>
      </c>
    </row>
    <row r="1174" spans="1:13" hidden="1" x14ac:dyDescent="0.25">
      <c r="A1174" s="751" t="s">
        <v>563</v>
      </c>
      <c r="B1174" s="751"/>
      <c r="C1174" s="745" t="s">
        <v>1105</v>
      </c>
      <c r="D1174" s="767">
        <f t="shared" si="42"/>
        <v>0</v>
      </c>
      <c r="E1174" s="968"/>
      <c r="F1174" s="968"/>
      <c r="G1174" s="1765"/>
      <c r="H1174" s="1766"/>
      <c r="I1174" s="1171"/>
      <c r="J1174" s="1282"/>
      <c r="K1174" s="1282"/>
      <c r="L1174" s="1172"/>
      <c r="M1174" s="750">
        <f t="shared" si="43"/>
        <v>0</v>
      </c>
    </row>
    <row r="1175" spans="1:13" x14ac:dyDescent="0.25">
      <c r="A1175" s="751" t="s">
        <v>564</v>
      </c>
      <c r="B1175" s="751"/>
      <c r="C1175" s="745" t="s">
        <v>1106</v>
      </c>
      <c r="D1175" s="1116">
        <f t="shared" si="42"/>
        <v>154150</v>
      </c>
      <c r="E1175" s="926"/>
      <c r="F1175" s="926"/>
      <c r="G1175" s="1761">
        <f>27150+127000</f>
        <v>154150</v>
      </c>
      <c r="H1175" s="1762"/>
      <c r="I1175" s="1171"/>
      <c r="J1175" s="1282"/>
      <c r="K1175" s="1282"/>
      <c r="L1175" s="1172"/>
      <c r="M1175" s="750">
        <f t="shared" si="43"/>
        <v>308300</v>
      </c>
    </row>
    <row r="1176" spans="1:13" x14ac:dyDescent="0.25">
      <c r="A1176" s="751" t="s">
        <v>565</v>
      </c>
      <c r="B1176" s="751"/>
      <c r="C1176" s="745" t="s">
        <v>1107</v>
      </c>
      <c r="D1176" s="767">
        <f t="shared" si="42"/>
        <v>176894</v>
      </c>
      <c r="E1176" s="968"/>
      <c r="F1176" s="968"/>
      <c r="G1176" s="1763">
        <v>176894</v>
      </c>
      <c r="H1176" s="1764"/>
      <c r="I1176" s="1171"/>
      <c r="J1176" s="1282"/>
      <c r="K1176" s="1282"/>
      <c r="L1176" s="1172"/>
      <c r="M1176" s="750">
        <f t="shared" si="43"/>
        <v>353788</v>
      </c>
    </row>
    <row r="1177" spans="1:13" x14ac:dyDescent="0.25">
      <c r="A1177" s="751" t="s">
        <v>566</v>
      </c>
      <c r="B1177" s="751"/>
      <c r="C1177" s="745" t="s">
        <v>1108</v>
      </c>
      <c r="D1177" s="767">
        <f t="shared" si="42"/>
        <v>64656</v>
      </c>
      <c r="E1177" s="968"/>
      <c r="F1177" s="968"/>
      <c r="G1177" s="1763">
        <v>64656</v>
      </c>
      <c r="H1177" s="1764"/>
      <c r="I1177" s="1171"/>
      <c r="J1177" s="1282"/>
      <c r="K1177" s="1282"/>
      <c r="L1177" s="1172"/>
      <c r="M1177" s="750">
        <f t="shared" si="43"/>
        <v>129312</v>
      </c>
    </row>
    <row r="1178" spans="1:13" x14ac:dyDescent="0.25">
      <c r="A1178" s="751" t="s">
        <v>567</v>
      </c>
      <c r="B1178" s="751"/>
      <c r="C1178" s="745" t="s">
        <v>1109</v>
      </c>
      <c r="D1178" s="767">
        <f t="shared" si="42"/>
        <v>49950</v>
      </c>
      <c r="E1178" s="968"/>
      <c r="F1178" s="968"/>
      <c r="G1178" s="1763">
        <v>49950</v>
      </c>
      <c r="H1178" s="1764"/>
      <c r="I1178" s="1171"/>
      <c r="J1178" s="1282"/>
      <c r="K1178" s="1282"/>
      <c r="L1178" s="1172"/>
      <c r="M1178" s="750">
        <f t="shared" si="43"/>
        <v>99900</v>
      </c>
    </row>
    <row r="1179" spans="1:13" hidden="1" x14ac:dyDescent="0.25">
      <c r="A1179" s="751" t="s">
        <v>780</v>
      </c>
      <c r="B1179" s="751"/>
      <c r="C1179" s="745" t="s">
        <v>1110</v>
      </c>
      <c r="D1179" s="767">
        <f t="shared" si="42"/>
        <v>0</v>
      </c>
      <c r="E1179" s="968"/>
      <c r="F1179" s="968"/>
      <c r="G1179" s="1765"/>
      <c r="H1179" s="1766"/>
      <c r="I1179" s="1171"/>
      <c r="J1179" s="1282"/>
      <c r="K1179" s="1282"/>
      <c r="L1179" s="1172"/>
      <c r="M1179" s="750">
        <f t="shared" si="43"/>
        <v>0</v>
      </c>
    </row>
    <row r="1180" spans="1:13" x14ac:dyDescent="0.25">
      <c r="A1180" s="751" t="s">
        <v>781</v>
      </c>
      <c r="B1180" s="751"/>
      <c r="C1180" s="745" t="s">
        <v>1111</v>
      </c>
      <c r="D1180" s="767">
        <f t="shared" si="42"/>
        <v>49490</v>
      </c>
      <c r="E1180" s="968"/>
      <c r="F1180" s="968"/>
      <c r="G1180" s="1763">
        <v>49490</v>
      </c>
      <c r="H1180" s="1764"/>
      <c r="I1180" s="1171"/>
      <c r="J1180" s="1282"/>
      <c r="K1180" s="1282"/>
      <c r="L1180" s="1172"/>
      <c r="M1180" s="750">
        <f t="shared" si="43"/>
        <v>98980</v>
      </c>
    </row>
    <row r="1181" spans="1:13" hidden="1" x14ac:dyDescent="0.25">
      <c r="A1181" s="751" t="s">
        <v>782</v>
      </c>
      <c r="B1181" s="751"/>
      <c r="C1181" s="745" t="s">
        <v>1112</v>
      </c>
      <c r="D1181" s="767">
        <f t="shared" si="42"/>
        <v>0</v>
      </c>
      <c r="E1181" s="968"/>
      <c r="F1181" s="968"/>
      <c r="G1181" s="1765"/>
      <c r="H1181" s="1766"/>
      <c r="I1181" s="1171"/>
      <c r="J1181" s="1282"/>
      <c r="K1181" s="1282"/>
      <c r="L1181" s="1172"/>
      <c r="M1181" s="750">
        <f t="shared" si="43"/>
        <v>0</v>
      </c>
    </row>
    <row r="1182" spans="1:13" x14ac:dyDescent="0.25">
      <c r="A1182" s="751" t="s">
        <v>783</v>
      </c>
      <c r="B1182" s="751"/>
      <c r="C1182" s="745" t="s">
        <v>1113</v>
      </c>
      <c r="D1182" s="767">
        <f t="shared" si="42"/>
        <v>191044</v>
      </c>
      <c r="E1182" s="968"/>
      <c r="F1182" s="968"/>
      <c r="G1182" s="1763">
        <v>191044</v>
      </c>
      <c r="H1182" s="1764"/>
      <c r="I1182" s="1171"/>
      <c r="J1182" s="1282"/>
      <c r="K1182" s="1282"/>
      <c r="L1182" s="1172"/>
      <c r="M1182" s="750">
        <f t="shared" si="43"/>
        <v>382088</v>
      </c>
    </row>
    <row r="1183" spans="1:13" x14ac:dyDescent="0.25">
      <c r="A1183" s="751" t="s">
        <v>784</v>
      </c>
      <c r="B1183" s="751"/>
      <c r="C1183" s="745" t="s">
        <v>1114</v>
      </c>
      <c r="D1183" s="1116">
        <f t="shared" si="42"/>
        <v>214648</v>
      </c>
      <c r="E1183" s="926"/>
      <c r="F1183" s="926"/>
      <c r="G1183" s="1761">
        <f>23604+191044</f>
        <v>214648</v>
      </c>
      <c r="H1183" s="1762"/>
      <c r="I1183" s="1171"/>
      <c r="J1183" s="1282"/>
      <c r="K1183" s="1282"/>
      <c r="L1183" s="1172"/>
      <c r="M1183" s="750">
        <f t="shared" si="43"/>
        <v>429296</v>
      </c>
    </row>
    <row r="1184" spans="1:13" x14ac:dyDescent="0.25">
      <c r="A1184" s="751" t="s">
        <v>785</v>
      </c>
      <c r="B1184" s="751"/>
      <c r="C1184" s="745" t="s">
        <v>1115</v>
      </c>
      <c r="D1184" s="1116">
        <f t="shared" si="42"/>
        <v>36200</v>
      </c>
      <c r="E1184" s="926"/>
      <c r="F1184" s="926"/>
      <c r="G1184" s="1761">
        <v>36200</v>
      </c>
      <c r="H1184" s="1762"/>
      <c r="I1184" s="1171"/>
      <c r="J1184" s="1282"/>
      <c r="K1184" s="1282"/>
      <c r="L1184" s="1172"/>
      <c r="M1184" s="750">
        <f t="shared" si="43"/>
        <v>72400</v>
      </c>
    </row>
    <row r="1185" spans="1:15" x14ac:dyDescent="0.25">
      <c r="A1185" s="751" t="s">
        <v>910</v>
      </c>
      <c r="B1185" s="751"/>
      <c r="C1185" s="745" t="s">
        <v>1116</v>
      </c>
      <c r="D1185" s="1116">
        <f t="shared" si="42"/>
        <v>383400</v>
      </c>
      <c r="E1185" s="926"/>
      <c r="F1185" s="926"/>
      <c r="G1185" s="1761">
        <f>30000+353400</f>
        <v>383400</v>
      </c>
      <c r="H1185" s="1762"/>
      <c r="I1185" s="1171"/>
      <c r="J1185" s="1282"/>
      <c r="K1185" s="1282"/>
      <c r="L1185" s="1172"/>
      <c r="M1185" s="750">
        <f t="shared" si="43"/>
        <v>766800</v>
      </c>
    </row>
    <row r="1186" spans="1:15" x14ac:dyDescent="0.25">
      <c r="A1186" s="751" t="s">
        <v>911</v>
      </c>
      <c r="B1186" s="751"/>
      <c r="C1186" s="745" t="s">
        <v>1117</v>
      </c>
      <c r="D1186" s="767">
        <f t="shared" si="42"/>
        <v>49800</v>
      </c>
      <c r="E1186" s="968"/>
      <c r="F1186" s="968"/>
      <c r="G1186" s="1763">
        <v>49800</v>
      </c>
      <c r="H1186" s="1764"/>
      <c r="I1186" s="1171"/>
      <c r="J1186" s="1282"/>
      <c r="K1186" s="1282"/>
      <c r="L1186" s="1172"/>
      <c r="M1186" s="750">
        <f t="shared" si="43"/>
        <v>99600</v>
      </c>
    </row>
    <row r="1187" spans="1:15" hidden="1" x14ac:dyDescent="0.25">
      <c r="A1187" s="751" t="s">
        <v>1118</v>
      </c>
      <c r="B1187" s="751"/>
      <c r="C1187" s="745" t="s">
        <v>1119</v>
      </c>
      <c r="D1187" s="767">
        <f t="shared" si="42"/>
        <v>0</v>
      </c>
      <c r="E1187" s="968"/>
      <c r="F1187" s="968"/>
      <c r="G1187" s="1765"/>
      <c r="H1187" s="1766"/>
      <c r="I1187" s="1171"/>
      <c r="J1187" s="1282"/>
      <c r="K1187" s="1282"/>
      <c r="L1187" s="1172"/>
      <c r="M1187" s="750">
        <f t="shared" si="43"/>
        <v>0</v>
      </c>
    </row>
    <row r="1188" spans="1:15" hidden="1" x14ac:dyDescent="0.25">
      <c r="A1188" s="751" t="s">
        <v>1120</v>
      </c>
      <c r="B1188" s="751"/>
      <c r="C1188" s="745" t="s">
        <v>1121</v>
      </c>
      <c r="D1188" s="767">
        <f t="shared" si="42"/>
        <v>0</v>
      </c>
      <c r="E1188" s="968"/>
      <c r="F1188" s="968"/>
      <c r="G1188" s="1765"/>
      <c r="H1188" s="1766"/>
      <c r="I1188" s="1171"/>
      <c r="J1188" s="1282"/>
      <c r="K1188" s="1282"/>
      <c r="L1188" s="1172"/>
      <c r="M1188" s="750">
        <f t="shared" si="43"/>
        <v>0</v>
      </c>
    </row>
    <row r="1189" spans="1:15" hidden="1" x14ac:dyDescent="0.25">
      <c r="A1189" s="751" t="s">
        <v>1122</v>
      </c>
      <c r="B1189" s="751"/>
      <c r="C1189" s="745" t="s">
        <v>1123</v>
      </c>
      <c r="D1189" s="767">
        <f t="shared" si="42"/>
        <v>0</v>
      </c>
      <c r="E1189" s="968"/>
      <c r="F1189" s="968"/>
      <c r="G1189" s="1765"/>
      <c r="H1189" s="1766"/>
      <c r="I1189" s="1171"/>
      <c r="J1189" s="1282"/>
      <c r="K1189" s="1282"/>
      <c r="L1189" s="1172"/>
      <c r="M1189" s="750">
        <f t="shared" si="43"/>
        <v>0</v>
      </c>
    </row>
    <row r="1190" spans="1:15" hidden="1" x14ac:dyDescent="0.25">
      <c r="A1190" s="751" t="s">
        <v>1124</v>
      </c>
      <c r="B1190" s="751"/>
      <c r="C1190" s="745" t="s">
        <v>1125</v>
      </c>
      <c r="D1190" s="767">
        <f t="shared" si="42"/>
        <v>0</v>
      </c>
      <c r="E1190" s="968"/>
      <c r="F1190" s="968"/>
      <c r="G1190" s="1765"/>
      <c r="H1190" s="1766"/>
      <c r="I1190" s="1171"/>
      <c r="J1190" s="1282"/>
      <c r="K1190" s="1282"/>
      <c r="L1190" s="1172"/>
      <c r="M1190" s="750">
        <f t="shared" si="43"/>
        <v>0</v>
      </c>
    </row>
    <row r="1191" spans="1:15" x14ac:dyDescent="0.25">
      <c r="A1191" s="751" t="s">
        <v>1126</v>
      </c>
      <c r="B1191" s="751"/>
      <c r="C1191" s="745" t="s">
        <v>1127</v>
      </c>
      <c r="D1191" s="767">
        <f t="shared" si="42"/>
        <v>212088</v>
      </c>
      <c r="E1191" s="968"/>
      <c r="F1191" s="968"/>
      <c r="G1191" s="1763">
        <v>212088</v>
      </c>
      <c r="H1191" s="1764"/>
      <c r="I1191" s="1171"/>
      <c r="J1191" s="1282"/>
      <c r="K1191" s="1282"/>
      <c r="L1191" s="1172"/>
      <c r="M1191" s="750">
        <f t="shared" si="43"/>
        <v>424176</v>
      </c>
    </row>
    <row r="1192" spans="1:15" hidden="1" x14ac:dyDescent="0.25">
      <c r="A1192" s="751" t="s">
        <v>1128</v>
      </c>
      <c r="B1192" s="751"/>
      <c r="C1192" s="745" t="s">
        <v>1129</v>
      </c>
      <c r="D1192" s="767">
        <f t="shared" si="42"/>
        <v>0</v>
      </c>
      <c r="E1192" s="968"/>
      <c r="F1192" s="968"/>
      <c r="G1192" s="1765"/>
      <c r="H1192" s="1766"/>
      <c r="I1192" s="1171"/>
      <c r="J1192" s="1282"/>
      <c r="K1192" s="1282"/>
      <c r="L1192" s="1172"/>
      <c r="M1192" s="750">
        <f t="shared" si="43"/>
        <v>0</v>
      </c>
    </row>
    <row r="1193" spans="1:15" x14ac:dyDescent="0.25">
      <c r="A1193" s="751" t="s">
        <v>1130</v>
      </c>
      <c r="B1193" s="751"/>
      <c r="C1193" s="745" t="s">
        <v>1131</v>
      </c>
      <c r="D1193" s="767">
        <f t="shared" si="42"/>
        <v>80000</v>
      </c>
      <c r="E1193" s="968"/>
      <c r="F1193" s="968"/>
      <c r="G1193" s="1763">
        <v>80000</v>
      </c>
      <c r="H1193" s="1764"/>
      <c r="I1193" s="1171"/>
      <c r="J1193" s="1282"/>
      <c r="K1193" s="1282"/>
      <c r="L1193" s="1172"/>
      <c r="M1193" s="750">
        <f t="shared" si="43"/>
        <v>160000</v>
      </c>
    </row>
    <row r="1194" spans="1:15" hidden="1" x14ac:dyDescent="0.25">
      <c r="A1194" s="751" t="s">
        <v>1132</v>
      </c>
      <c r="B1194" s="751"/>
      <c r="C1194" s="745" t="s">
        <v>1133</v>
      </c>
      <c r="D1194" s="767">
        <f t="shared" si="42"/>
        <v>0</v>
      </c>
      <c r="E1194" s="968"/>
      <c r="F1194" s="968"/>
      <c r="G1194" s="1765"/>
      <c r="H1194" s="1766"/>
      <c r="I1194" s="1171"/>
      <c r="J1194" s="1282"/>
      <c r="K1194" s="1282"/>
      <c r="L1194" s="1172"/>
      <c r="M1194" s="750">
        <f t="shared" si="43"/>
        <v>0</v>
      </c>
    </row>
    <row r="1195" spans="1:15" hidden="1" x14ac:dyDescent="0.25">
      <c r="A1195" s="751" t="s">
        <v>1134</v>
      </c>
      <c r="B1195" s="751"/>
      <c r="C1195" s="745" t="s">
        <v>1135</v>
      </c>
      <c r="D1195" s="767">
        <f t="shared" si="42"/>
        <v>0</v>
      </c>
      <c r="E1195" s="968"/>
      <c r="F1195" s="968"/>
      <c r="G1195" s="1765"/>
      <c r="H1195" s="1766"/>
      <c r="I1195" s="1171"/>
      <c r="J1195" s="1282"/>
      <c r="K1195" s="1282"/>
      <c r="L1195" s="1172"/>
      <c r="M1195" s="750">
        <f t="shared" si="43"/>
        <v>0</v>
      </c>
    </row>
    <row r="1196" spans="1:15" x14ac:dyDescent="0.25">
      <c r="A1196" s="751" t="s">
        <v>1136</v>
      </c>
      <c r="B1196" s="751"/>
      <c r="C1196" s="745" t="s">
        <v>1137</v>
      </c>
      <c r="D1196" s="1116">
        <f t="shared" si="42"/>
        <v>428797</v>
      </c>
      <c r="E1196" s="926"/>
      <c r="F1196" s="926"/>
      <c r="G1196" s="1761">
        <f>36200+392597</f>
        <v>428797</v>
      </c>
      <c r="H1196" s="1762"/>
      <c r="I1196" s="1171"/>
      <c r="J1196" s="1282"/>
      <c r="K1196" s="1282"/>
      <c r="L1196" s="1172"/>
      <c r="M1196" s="750">
        <f t="shared" si="43"/>
        <v>857594</v>
      </c>
    </row>
    <row r="1197" spans="1:15" x14ac:dyDescent="0.25">
      <c r="A1197" s="751" t="s">
        <v>1138</v>
      </c>
      <c r="B1197" s="751"/>
      <c r="C1197" s="745" t="s">
        <v>1139</v>
      </c>
      <c r="D1197" s="1116">
        <f t="shared" si="42"/>
        <v>156200</v>
      </c>
      <c r="E1197" s="926"/>
      <c r="F1197" s="926"/>
      <c r="G1197" s="1761">
        <f>36200+120000</f>
        <v>156200</v>
      </c>
      <c r="H1197" s="1762"/>
      <c r="I1197" s="1171"/>
      <c r="J1197" s="1282"/>
      <c r="K1197" s="1282"/>
      <c r="L1197" s="1172"/>
      <c r="M1197" s="750">
        <f t="shared" si="43"/>
        <v>312400</v>
      </c>
    </row>
    <row r="1198" spans="1:15" x14ac:dyDescent="0.25">
      <c r="A1198" s="751" t="s">
        <v>1140</v>
      </c>
      <c r="B1198" s="751"/>
      <c r="C1198" s="745" t="s">
        <v>1141</v>
      </c>
      <c r="D1198" s="1116">
        <f t="shared" si="42"/>
        <v>311990</v>
      </c>
      <c r="E1198" s="926"/>
      <c r="F1198" s="926"/>
      <c r="G1198" s="1761">
        <f>50000+261990</f>
        <v>311990</v>
      </c>
      <c r="H1198" s="1762"/>
      <c r="I1198" s="1171"/>
      <c r="J1198" s="1282"/>
      <c r="K1198" s="1282"/>
      <c r="L1198" s="1172"/>
      <c r="M1198" s="750">
        <f t="shared" si="43"/>
        <v>623980</v>
      </c>
    </row>
    <row r="1199" spans="1:15" ht="18.75" x14ac:dyDescent="0.3">
      <c r="A1199" s="751" t="s">
        <v>1142</v>
      </c>
      <c r="B1199" s="751"/>
      <c r="C1199" s="745" t="s">
        <v>1143</v>
      </c>
      <c r="D1199" s="1116">
        <f t="shared" si="42"/>
        <v>130000</v>
      </c>
      <c r="E1199" s="926"/>
      <c r="F1199" s="926"/>
      <c r="G1199" s="1761">
        <f>10000+120000</f>
        <v>130000</v>
      </c>
      <c r="H1199" s="1762"/>
      <c r="I1199" s="1171"/>
      <c r="J1199" s="1282"/>
      <c r="K1199" s="1282"/>
      <c r="L1199" s="1172"/>
      <c r="M1199" s="750">
        <f t="shared" si="43"/>
        <v>260000</v>
      </c>
      <c r="O1199" s="856"/>
    </row>
    <row r="1200" spans="1:15" x14ac:dyDescent="0.25">
      <c r="A1200" s="751" t="s">
        <v>1144</v>
      </c>
      <c r="B1200" s="751"/>
      <c r="C1200" s="745" t="s">
        <v>1145</v>
      </c>
      <c r="D1200" s="767">
        <f t="shared" si="42"/>
        <v>218244</v>
      </c>
      <c r="E1200" s="968"/>
      <c r="F1200" s="968"/>
      <c r="G1200" s="1763">
        <v>218244</v>
      </c>
      <c r="H1200" s="1764"/>
      <c r="I1200" s="1171"/>
      <c r="J1200" s="1282"/>
      <c r="K1200" s="1282"/>
      <c r="L1200" s="1172"/>
      <c r="M1200" s="750">
        <f t="shared" si="43"/>
        <v>436488</v>
      </c>
    </row>
    <row r="1201" spans="1:16" x14ac:dyDescent="0.25">
      <c r="A1201" s="751" t="s">
        <v>1146</v>
      </c>
      <c r="B1201" s="751"/>
      <c r="C1201" s="745" t="s">
        <v>1147</v>
      </c>
      <c r="D1201" s="1116">
        <f t="shared" si="42"/>
        <v>386410</v>
      </c>
      <c r="E1201" s="926"/>
      <c r="F1201" s="926"/>
      <c r="G1201" s="1761">
        <f>16035+370375</f>
        <v>386410</v>
      </c>
      <c r="H1201" s="1762"/>
      <c r="I1201" s="1171"/>
      <c r="J1201" s="1282"/>
      <c r="K1201" s="1282"/>
      <c r="L1201" s="1172"/>
      <c r="M1201" s="750">
        <f t="shared" si="43"/>
        <v>772820</v>
      </c>
    </row>
    <row r="1202" spans="1:16" x14ac:dyDescent="0.25">
      <c r="A1202" s="751" t="s">
        <v>1148</v>
      </c>
      <c r="B1202" s="751"/>
      <c r="C1202" s="745" t="s">
        <v>1149</v>
      </c>
      <c r="D1202" s="767">
        <f>SUM(E1202:H1202)</f>
        <v>120800</v>
      </c>
      <c r="E1202" s="1321">
        <v>120800</v>
      </c>
      <c r="F1202" s="1321"/>
      <c r="G1202" s="1763"/>
      <c r="H1202" s="1764"/>
      <c r="I1202" s="1171"/>
      <c r="J1202" s="1282"/>
      <c r="K1202" s="1282"/>
      <c r="L1202" s="1172"/>
      <c r="M1202" s="750">
        <f t="shared" si="43"/>
        <v>241600</v>
      </c>
    </row>
    <row r="1203" spans="1:16" ht="18.75" hidden="1" x14ac:dyDescent="0.25">
      <c r="A1203" s="757"/>
      <c r="B1203" s="758"/>
      <c r="C1203" s="759" t="s">
        <v>168</v>
      </c>
      <c r="D1203" s="1116">
        <f>SUM(E1203:H1203)</f>
        <v>0</v>
      </c>
      <c r="E1203" s="1285">
        <f>300000-300000</f>
        <v>0</v>
      </c>
      <c r="F1203" s="1285">
        <f>508400-508400</f>
        <v>0</v>
      </c>
      <c r="G1203" s="1778"/>
      <c r="H1203" s="1779"/>
      <c r="I1203" s="1286"/>
      <c r="J1203" s="1287"/>
      <c r="K1203" s="1287"/>
      <c r="L1203" s="1288"/>
      <c r="M1203" s="750">
        <f t="shared" si="43"/>
        <v>0</v>
      </c>
    </row>
    <row r="1204" spans="1:16" ht="81" customHeight="1" x14ac:dyDescent="0.25">
      <c r="A1204" s="1741" t="s">
        <v>1001</v>
      </c>
      <c r="B1204" s="1738">
        <v>9430</v>
      </c>
      <c r="C1204" s="1753" t="s">
        <v>1003</v>
      </c>
      <c r="D1204" s="1092">
        <f>SUM(D1207:D1272)</f>
        <v>9000000</v>
      </c>
      <c r="E1204" s="1845" t="s">
        <v>1932</v>
      </c>
      <c r="F1204" s="1846"/>
      <c r="G1204" s="1846"/>
      <c r="H1204" s="1846"/>
      <c r="I1204" s="1846"/>
      <c r="J1204" s="1846"/>
      <c r="K1204" s="1846"/>
      <c r="L1204" s="1847"/>
      <c r="M1204" s="750">
        <f t="shared" si="43"/>
        <v>9000000</v>
      </c>
      <c r="O1204" s="857" t="b">
        <f>D1204=дод3!J116</f>
        <v>1</v>
      </c>
      <c r="P1204" s="851"/>
    </row>
    <row r="1205" spans="1:16" ht="18.75" x14ac:dyDescent="0.25">
      <c r="A1205" s="1742"/>
      <c r="B1205" s="1739"/>
      <c r="C1205" s="1754"/>
      <c r="D1205" s="1260"/>
      <c r="E1205" s="1258"/>
      <c r="F1205" s="1259"/>
      <c r="G1205" s="1259"/>
      <c r="H1205" s="1259"/>
      <c r="I1205" s="1354"/>
      <c r="J1205" s="1354"/>
      <c r="K1205" s="1354"/>
      <c r="L1205" s="1198"/>
      <c r="M1205" s="750">
        <v>1</v>
      </c>
    </row>
    <row r="1206" spans="1:16" ht="17.45" customHeight="1" x14ac:dyDescent="0.25">
      <c r="A1206" s="1743"/>
      <c r="B1206" s="1740"/>
      <c r="C1206" s="1755"/>
      <c r="D1206" s="1094"/>
      <c r="E1206" s="1303">
        <f>SUM(E1207:E1273)</f>
        <v>9000000</v>
      </c>
      <c r="F1206" s="1259"/>
      <c r="G1206" s="1259"/>
      <c r="H1206" s="1259"/>
      <c r="I1206" s="1354"/>
      <c r="J1206" s="1354"/>
      <c r="K1206" s="1354"/>
      <c r="L1206" s="1198"/>
      <c r="M1206" s="750">
        <f t="shared" ref="M1206:M1269" si="44">SUM(D1206:H1206)</f>
        <v>9000000</v>
      </c>
    </row>
    <row r="1207" spans="1:16" hidden="1" x14ac:dyDescent="0.25">
      <c r="A1207" s="751" t="s">
        <v>526</v>
      </c>
      <c r="B1207" s="751"/>
      <c r="C1207" s="745" t="s">
        <v>1060</v>
      </c>
      <c r="D1207" s="867">
        <f>E1207</f>
        <v>0</v>
      </c>
      <c r="E1207" s="1264"/>
      <c r="F1207" s="1265"/>
      <c r="G1207" s="1265"/>
      <c r="H1207" s="1265"/>
      <c r="I1207" s="1266"/>
      <c r="J1207" s="1266"/>
      <c r="K1207" s="1266"/>
      <c r="L1207" s="1267"/>
      <c r="M1207" s="750">
        <f t="shared" si="44"/>
        <v>0</v>
      </c>
    </row>
    <row r="1208" spans="1:16" hidden="1" x14ac:dyDescent="0.25">
      <c r="A1208" s="751" t="s">
        <v>527</v>
      </c>
      <c r="B1208" s="751"/>
      <c r="C1208" s="745" t="s">
        <v>1069</v>
      </c>
      <c r="D1208" s="762">
        <f t="shared" ref="D1208:D1271" si="45">E1208</f>
        <v>0</v>
      </c>
      <c r="E1208" s="1264"/>
      <c r="F1208" s="1265"/>
      <c r="G1208" s="1265"/>
      <c r="H1208" s="1265"/>
      <c r="I1208" s="1266"/>
      <c r="J1208" s="1266"/>
      <c r="K1208" s="1266"/>
      <c r="L1208" s="1267"/>
      <c r="M1208" s="750">
        <f t="shared" si="44"/>
        <v>0</v>
      </c>
    </row>
    <row r="1209" spans="1:16" hidden="1" x14ac:dyDescent="0.25">
      <c r="A1209" s="751" t="s">
        <v>528</v>
      </c>
      <c r="B1209" s="751"/>
      <c r="C1209" s="745" t="s">
        <v>1070</v>
      </c>
      <c r="D1209" s="762">
        <f t="shared" si="45"/>
        <v>0</v>
      </c>
      <c r="E1209" s="1264"/>
      <c r="F1209" s="1265"/>
      <c r="G1209" s="1265"/>
      <c r="H1209" s="1265"/>
      <c r="I1209" s="1266"/>
      <c r="J1209" s="1266"/>
      <c r="K1209" s="1266"/>
      <c r="L1209" s="1267"/>
      <c r="M1209" s="750">
        <f t="shared" si="44"/>
        <v>0</v>
      </c>
    </row>
    <row r="1210" spans="1:16" hidden="1" x14ac:dyDescent="0.25">
      <c r="A1210" s="751" t="s">
        <v>529</v>
      </c>
      <c r="B1210" s="751"/>
      <c r="C1210" s="745" t="s">
        <v>1071</v>
      </c>
      <c r="D1210" s="762">
        <f t="shared" si="45"/>
        <v>0</v>
      </c>
      <c r="E1210" s="1264"/>
      <c r="F1210" s="1265"/>
      <c r="G1210" s="1265"/>
      <c r="H1210" s="1265"/>
      <c r="I1210" s="1266"/>
      <c r="J1210" s="1266"/>
      <c r="K1210" s="1266"/>
      <c r="L1210" s="1267"/>
      <c r="M1210" s="750">
        <f t="shared" si="44"/>
        <v>0</v>
      </c>
    </row>
    <row r="1211" spans="1:16" hidden="1" x14ac:dyDescent="0.25">
      <c r="A1211" s="751" t="s">
        <v>530</v>
      </c>
      <c r="B1211" s="751"/>
      <c r="C1211" s="745" t="s">
        <v>1072</v>
      </c>
      <c r="D1211" s="762">
        <f t="shared" si="45"/>
        <v>0</v>
      </c>
      <c r="E1211" s="1264"/>
      <c r="F1211" s="1265"/>
      <c r="G1211" s="1265"/>
      <c r="H1211" s="1265"/>
      <c r="I1211" s="1266"/>
      <c r="J1211" s="1266"/>
      <c r="K1211" s="1266"/>
      <c r="L1211" s="1267"/>
      <c r="M1211" s="750">
        <f t="shared" si="44"/>
        <v>0</v>
      </c>
    </row>
    <row r="1212" spans="1:16" hidden="1" x14ac:dyDescent="0.25">
      <c r="A1212" s="751" t="s">
        <v>531</v>
      </c>
      <c r="B1212" s="751"/>
      <c r="C1212" s="745" t="s">
        <v>1073</v>
      </c>
      <c r="D1212" s="762">
        <f t="shared" si="45"/>
        <v>0</v>
      </c>
      <c r="E1212" s="1264"/>
      <c r="F1212" s="1265"/>
      <c r="G1212" s="1265"/>
      <c r="H1212" s="1265"/>
      <c r="I1212" s="1266"/>
      <c r="J1212" s="1266"/>
      <c r="K1212" s="1266"/>
      <c r="L1212" s="1267"/>
      <c r="M1212" s="750">
        <f t="shared" si="44"/>
        <v>0</v>
      </c>
    </row>
    <row r="1213" spans="1:16" hidden="1" x14ac:dyDescent="0.25">
      <c r="A1213" s="751" t="s">
        <v>532</v>
      </c>
      <c r="B1213" s="751"/>
      <c r="C1213" s="745" t="s">
        <v>1074</v>
      </c>
      <c r="D1213" s="762">
        <f t="shared" si="45"/>
        <v>0</v>
      </c>
      <c r="E1213" s="1264"/>
      <c r="F1213" s="1265"/>
      <c r="G1213" s="1265"/>
      <c r="H1213" s="1265"/>
      <c r="I1213" s="1266"/>
      <c r="J1213" s="1266"/>
      <c r="K1213" s="1266"/>
      <c r="L1213" s="1267"/>
      <c r="M1213" s="750">
        <f t="shared" si="44"/>
        <v>0</v>
      </c>
    </row>
    <row r="1214" spans="1:16" hidden="1" x14ac:dyDescent="0.25">
      <c r="A1214" s="751" t="s">
        <v>533</v>
      </c>
      <c r="B1214" s="751"/>
      <c r="C1214" s="745" t="s">
        <v>1075</v>
      </c>
      <c r="D1214" s="762">
        <f t="shared" si="45"/>
        <v>0</v>
      </c>
      <c r="E1214" s="1264"/>
      <c r="F1214" s="1265"/>
      <c r="G1214" s="1265"/>
      <c r="H1214" s="1265"/>
      <c r="I1214" s="1266"/>
      <c r="J1214" s="1266"/>
      <c r="K1214" s="1266"/>
      <c r="L1214" s="1267"/>
      <c r="M1214" s="750">
        <f t="shared" si="44"/>
        <v>0</v>
      </c>
    </row>
    <row r="1215" spans="1:16" hidden="1" x14ac:dyDescent="0.25">
      <c r="A1215" s="751" t="s">
        <v>534</v>
      </c>
      <c r="B1215" s="751"/>
      <c r="C1215" s="745" t="s">
        <v>1076</v>
      </c>
      <c r="D1215" s="762">
        <f t="shared" si="45"/>
        <v>0</v>
      </c>
      <c r="E1215" s="1264"/>
      <c r="F1215" s="1265"/>
      <c r="G1215" s="1265"/>
      <c r="H1215" s="1265"/>
      <c r="I1215" s="1266"/>
      <c r="J1215" s="1266"/>
      <c r="K1215" s="1266"/>
      <c r="L1215" s="1267"/>
      <c r="M1215" s="750">
        <f t="shared" si="44"/>
        <v>0</v>
      </c>
    </row>
    <row r="1216" spans="1:16" hidden="1" x14ac:dyDescent="0.25">
      <c r="A1216" s="751" t="s">
        <v>535</v>
      </c>
      <c r="B1216" s="751"/>
      <c r="C1216" s="745" t="s">
        <v>1077</v>
      </c>
      <c r="D1216" s="762">
        <f t="shared" si="45"/>
        <v>0</v>
      </c>
      <c r="E1216" s="1264"/>
      <c r="F1216" s="1265"/>
      <c r="G1216" s="1265"/>
      <c r="H1216" s="1265"/>
      <c r="I1216" s="1266"/>
      <c r="J1216" s="1266"/>
      <c r="K1216" s="1266"/>
      <c r="L1216" s="1267"/>
      <c r="M1216" s="750">
        <f t="shared" si="44"/>
        <v>0</v>
      </c>
    </row>
    <row r="1217" spans="1:13" hidden="1" x14ac:dyDescent="0.25">
      <c r="A1217" s="751" t="s">
        <v>536</v>
      </c>
      <c r="B1217" s="751"/>
      <c r="C1217" s="745" t="s">
        <v>1078</v>
      </c>
      <c r="D1217" s="762">
        <f t="shared" si="45"/>
        <v>0</v>
      </c>
      <c r="E1217" s="1264"/>
      <c r="F1217" s="1265"/>
      <c r="G1217" s="1265"/>
      <c r="H1217" s="1265"/>
      <c r="I1217" s="1266"/>
      <c r="J1217" s="1266"/>
      <c r="K1217" s="1266"/>
      <c r="L1217" s="1267"/>
      <c r="M1217" s="750">
        <f t="shared" si="44"/>
        <v>0</v>
      </c>
    </row>
    <row r="1218" spans="1:13" x14ac:dyDescent="0.25">
      <c r="A1218" s="751" t="s">
        <v>537</v>
      </c>
      <c r="B1218" s="751"/>
      <c r="C1218" s="745" t="s">
        <v>1079</v>
      </c>
      <c r="D1218" s="762">
        <f t="shared" si="45"/>
        <v>1500000</v>
      </c>
      <c r="E1218" s="1264">
        <v>1500000</v>
      </c>
      <c r="F1218" s="1265"/>
      <c r="G1218" s="1265"/>
      <c r="H1218" s="1265"/>
      <c r="I1218" s="1266"/>
      <c r="J1218" s="1266"/>
      <c r="K1218" s="1266"/>
      <c r="L1218" s="1267"/>
      <c r="M1218" s="750">
        <f t="shared" si="44"/>
        <v>3000000</v>
      </c>
    </row>
    <row r="1219" spans="1:13" x14ac:dyDescent="0.25">
      <c r="A1219" s="751" t="s">
        <v>538</v>
      </c>
      <c r="B1219" s="751"/>
      <c r="C1219" s="745" t="s">
        <v>1080</v>
      </c>
      <c r="D1219" s="762">
        <f t="shared" si="45"/>
        <v>1500000</v>
      </c>
      <c r="E1219" s="1264">
        <v>1500000</v>
      </c>
      <c r="F1219" s="1265"/>
      <c r="G1219" s="1265"/>
      <c r="H1219" s="1265"/>
      <c r="I1219" s="1266"/>
      <c r="J1219" s="1266"/>
      <c r="K1219" s="1266"/>
      <c r="L1219" s="1267"/>
      <c r="M1219" s="750">
        <f t="shared" si="44"/>
        <v>3000000</v>
      </c>
    </row>
    <row r="1220" spans="1:13" hidden="1" x14ac:dyDescent="0.25">
      <c r="A1220" s="751" t="s">
        <v>539</v>
      </c>
      <c r="B1220" s="751"/>
      <c r="C1220" s="745" t="s">
        <v>1081</v>
      </c>
      <c r="D1220" s="762">
        <f t="shared" si="45"/>
        <v>0</v>
      </c>
      <c r="E1220" s="1264"/>
      <c r="F1220" s="1265"/>
      <c r="G1220" s="1265"/>
      <c r="H1220" s="1265"/>
      <c r="I1220" s="1266"/>
      <c r="J1220" s="1266"/>
      <c r="K1220" s="1266"/>
      <c r="L1220" s="1267"/>
      <c r="M1220" s="750">
        <f t="shared" si="44"/>
        <v>0</v>
      </c>
    </row>
    <row r="1221" spans="1:13" hidden="1" x14ac:dyDescent="0.25">
      <c r="A1221" s="751" t="s">
        <v>540</v>
      </c>
      <c r="B1221" s="751"/>
      <c r="C1221" s="745" t="s">
        <v>1082</v>
      </c>
      <c r="D1221" s="762">
        <f t="shared" si="45"/>
        <v>0</v>
      </c>
      <c r="E1221" s="1264"/>
      <c r="F1221" s="1265"/>
      <c r="G1221" s="1265"/>
      <c r="H1221" s="1265"/>
      <c r="I1221" s="1266"/>
      <c r="J1221" s="1266"/>
      <c r="K1221" s="1266"/>
      <c r="L1221" s="1267"/>
      <c r="M1221" s="750">
        <f t="shared" si="44"/>
        <v>0</v>
      </c>
    </row>
    <row r="1222" spans="1:13" hidden="1" x14ac:dyDescent="0.25">
      <c r="A1222" s="751" t="s">
        <v>541</v>
      </c>
      <c r="B1222" s="751"/>
      <c r="C1222" s="745" t="s">
        <v>1083</v>
      </c>
      <c r="D1222" s="762">
        <f t="shared" si="45"/>
        <v>0</v>
      </c>
      <c r="E1222" s="1264"/>
      <c r="F1222" s="1265"/>
      <c r="G1222" s="1265"/>
      <c r="H1222" s="1265"/>
      <c r="I1222" s="1266"/>
      <c r="J1222" s="1266"/>
      <c r="K1222" s="1266"/>
      <c r="L1222" s="1267"/>
      <c r="M1222" s="750">
        <f t="shared" si="44"/>
        <v>0</v>
      </c>
    </row>
    <row r="1223" spans="1:13" hidden="1" x14ac:dyDescent="0.25">
      <c r="A1223" s="751" t="s">
        <v>542</v>
      </c>
      <c r="B1223" s="751"/>
      <c r="C1223" s="745" t="s">
        <v>1084</v>
      </c>
      <c r="D1223" s="762">
        <f t="shared" si="45"/>
        <v>0</v>
      </c>
      <c r="E1223" s="1264"/>
      <c r="F1223" s="1265"/>
      <c r="G1223" s="1265"/>
      <c r="H1223" s="1265"/>
      <c r="I1223" s="1266"/>
      <c r="J1223" s="1266"/>
      <c r="K1223" s="1266"/>
      <c r="L1223" s="1267"/>
      <c r="M1223" s="750">
        <f t="shared" si="44"/>
        <v>0</v>
      </c>
    </row>
    <row r="1224" spans="1:13" hidden="1" x14ac:dyDescent="0.25">
      <c r="A1224" s="751" t="s">
        <v>543</v>
      </c>
      <c r="B1224" s="751"/>
      <c r="C1224" s="745" t="s">
        <v>1085</v>
      </c>
      <c r="D1224" s="762">
        <f t="shared" si="45"/>
        <v>0</v>
      </c>
      <c r="E1224" s="1264"/>
      <c r="F1224" s="1265"/>
      <c r="G1224" s="1265"/>
      <c r="H1224" s="1265"/>
      <c r="I1224" s="1266"/>
      <c r="J1224" s="1266"/>
      <c r="K1224" s="1266"/>
      <c r="L1224" s="1267"/>
      <c r="M1224" s="750">
        <f t="shared" si="44"/>
        <v>0</v>
      </c>
    </row>
    <row r="1225" spans="1:13" hidden="1" x14ac:dyDescent="0.25">
      <c r="A1225" s="751" t="s">
        <v>544</v>
      </c>
      <c r="B1225" s="751"/>
      <c r="C1225" s="745" t="s">
        <v>1086</v>
      </c>
      <c r="D1225" s="762">
        <f t="shared" si="45"/>
        <v>0</v>
      </c>
      <c r="E1225" s="1264"/>
      <c r="F1225" s="1265"/>
      <c r="G1225" s="1265"/>
      <c r="H1225" s="1265"/>
      <c r="I1225" s="1266"/>
      <c r="J1225" s="1266"/>
      <c r="K1225" s="1266"/>
      <c r="L1225" s="1267"/>
      <c r="M1225" s="750">
        <f t="shared" si="44"/>
        <v>0</v>
      </c>
    </row>
    <row r="1226" spans="1:13" hidden="1" x14ac:dyDescent="0.25">
      <c r="A1226" s="751" t="s">
        <v>545</v>
      </c>
      <c r="B1226" s="751"/>
      <c r="C1226" s="745" t="s">
        <v>1087</v>
      </c>
      <c r="D1226" s="762">
        <f t="shared" si="45"/>
        <v>0</v>
      </c>
      <c r="E1226" s="1264"/>
      <c r="F1226" s="1265"/>
      <c r="G1226" s="1265"/>
      <c r="H1226" s="1265"/>
      <c r="I1226" s="1266"/>
      <c r="J1226" s="1266"/>
      <c r="K1226" s="1266"/>
      <c r="L1226" s="1267"/>
      <c r="M1226" s="750">
        <f t="shared" si="44"/>
        <v>0</v>
      </c>
    </row>
    <row r="1227" spans="1:13" hidden="1" x14ac:dyDescent="0.25">
      <c r="A1227" s="751" t="s">
        <v>546</v>
      </c>
      <c r="B1227" s="751"/>
      <c r="C1227" s="745" t="s">
        <v>1088</v>
      </c>
      <c r="D1227" s="762">
        <f t="shared" si="45"/>
        <v>0</v>
      </c>
      <c r="E1227" s="1264"/>
      <c r="F1227" s="1265"/>
      <c r="G1227" s="1265"/>
      <c r="H1227" s="1265"/>
      <c r="I1227" s="1266"/>
      <c r="J1227" s="1266"/>
      <c r="K1227" s="1266"/>
      <c r="L1227" s="1267"/>
      <c r="M1227" s="750">
        <f t="shared" si="44"/>
        <v>0</v>
      </c>
    </row>
    <row r="1228" spans="1:13" hidden="1" x14ac:dyDescent="0.25">
      <c r="A1228" s="751" t="s">
        <v>547</v>
      </c>
      <c r="B1228" s="751"/>
      <c r="C1228" s="745" t="s">
        <v>1089</v>
      </c>
      <c r="D1228" s="762">
        <f t="shared" si="45"/>
        <v>0</v>
      </c>
      <c r="E1228" s="1264"/>
      <c r="F1228" s="1265"/>
      <c r="G1228" s="1265"/>
      <c r="H1228" s="1265"/>
      <c r="I1228" s="1266"/>
      <c r="J1228" s="1266"/>
      <c r="K1228" s="1266"/>
      <c r="L1228" s="1267"/>
      <c r="M1228" s="750">
        <f t="shared" si="44"/>
        <v>0</v>
      </c>
    </row>
    <row r="1229" spans="1:13" hidden="1" x14ac:dyDescent="0.25">
      <c r="A1229" s="751" t="s">
        <v>548</v>
      </c>
      <c r="B1229" s="751"/>
      <c r="C1229" s="745" t="s">
        <v>1090</v>
      </c>
      <c r="D1229" s="762">
        <f t="shared" si="45"/>
        <v>0</v>
      </c>
      <c r="E1229" s="1264"/>
      <c r="F1229" s="1265"/>
      <c r="G1229" s="1265"/>
      <c r="H1229" s="1265"/>
      <c r="I1229" s="1266"/>
      <c r="J1229" s="1266"/>
      <c r="K1229" s="1266"/>
      <c r="L1229" s="1267"/>
      <c r="M1229" s="750">
        <f t="shared" si="44"/>
        <v>0</v>
      </c>
    </row>
    <row r="1230" spans="1:13" hidden="1" x14ac:dyDescent="0.25">
      <c r="A1230" s="751" t="s">
        <v>549</v>
      </c>
      <c r="B1230" s="751"/>
      <c r="C1230" s="745" t="s">
        <v>1091</v>
      </c>
      <c r="D1230" s="762">
        <f t="shared" si="45"/>
        <v>0</v>
      </c>
      <c r="E1230" s="1264"/>
      <c r="F1230" s="1265"/>
      <c r="G1230" s="1265"/>
      <c r="H1230" s="1265"/>
      <c r="I1230" s="1266"/>
      <c r="J1230" s="1266"/>
      <c r="K1230" s="1266"/>
      <c r="L1230" s="1267"/>
      <c r="M1230" s="750">
        <f t="shared" si="44"/>
        <v>0</v>
      </c>
    </row>
    <row r="1231" spans="1:13" hidden="1" x14ac:dyDescent="0.25">
      <c r="A1231" s="751" t="s">
        <v>550</v>
      </c>
      <c r="B1231" s="751"/>
      <c r="C1231" s="745" t="s">
        <v>1092</v>
      </c>
      <c r="D1231" s="762">
        <f t="shared" si="45"/>
        <v>0</v>
      </c>
      <c r="E1231" s="1264"/>
      <c r="F1231" s="1265"/>
      <c r="G1231" s="1265"/>
      <c r="H1231" s="1265"/>
      <c r="I1231" s="1266"/>
      <c r="J1231" s="1266"/>
      <c r="K1231" s="1266"/>
      <c r="L1231" s="1267"/>
      <c r="M1231" s="750">
        <f t="shared" si="44"/>
        <v>0</v>
      </c>
    </row>
    <row r="1232" spans="1:13" hidden="1" x14ac:dyDescent="0.25">
      <c r="A1232" s="751" t="s">
        <v>551</v>
      </c>
      <c r="B1232" s="751"/>
      <c r="C1232" s="745" t="s">
        <v>1093</v>
      </c>
      <c r="D1232" s="762">
        <f t="shared" si="45"/>
        <v>0</v>
      </c>
      <c r="E1232" s="1264"/>
      <c r="F1232" s="1265"/>
      <c r="G1232" s="1265"/>
      <c r="H1232" s="1265"/>
      <c r="I1232" s="1266"/>
      <c r="J1232" s="1266"/>
      <c r="K1232" s="1266"/>
      <c r="L1232" s="1267"/>
      <c r="M1232" s="750">
        <f t="shared" si="44"/>
        <v>0</v>
      </c>
    </row>
    <row r="1233" spans="1:13" hidden="1" x14ac:dyDescent="0.25">
      <c r="A1233" s="751" t="s">
        <v>552</v>
      </c>
      <c r="B1233" s="751"/>
      <c r="C1233" s="745" t="s">
        <v>1094</v>
      </c>
      <c r="D1233" s="762">
        <f t="shared" si="45"/>
        <v>0</v>
      </c>
      <c r="E1233" s="1264"/>
      <c r="F1233" s="1265"/>
      <c r="G1233" s="1265"/>
      <c r="H1233" s="1265"/>
      <c r="I1233" s="1266"/>
      <c r="J1233" s="1266"/>
      <c r="K1233" s="1266"/>
      <c r="L1233" s="1267"/>
      <c r="M1233" s="750">
        <f t="shared" si="44"/>
        <v>0</v>
      </c>
    </row>
    <row r="1234" spans="1:13" hidden="1" x14ac:dyDescent="0.25">
      <c r="A1234" s="751" t="s">
        <v>553</v>
      </c>
      <c r="B1234" s="751"/>
      <c r="C1234" s="745" t="s">
        <v>1095</v>
      </c>
      <c r="D1234" s="762">
        <f t="shared" si="45"/>
        <v>0</v>
      </c>
      <c r="E1234" s="1264"/>
      <c r="F1234" s="1265"/>
      <c r="G1234" s="1265"/>
      <c r="H1234" s="1265"/>
      <c r="I1234" s="1266"/>
      <c r="J1234" s="1266"/>
      <c r="K1234" s="1266"/>
      <c r="L1234" s="1267"/>
      <c r="M1234" s="750">
        <f t="shared" si="44"/>
        <v>0</v>
      </c>
    </row>
    <row r="1235" spans="1:13" hidden="1" x14ac:dyDescent="0.25">
      <c r="A1235" s="751" t="s">
        <v>554</v>
      </c>
      <c r="B1235" s="751"/>
      <c r="C1235" s="745" t="s">
        <v>1096</v>
      </c>
      <c r="D1235" s="762">
        <f t="shared" si="45"/>
        <v>0</v>
      </c>
      <c r="E1235" s="1264"/>
      <c r="F1235" s="1265"/>
      <c r="G1235" s="1265"/>
      <c r="H1235" s="1265"/>
      <c r="I1235" s="1266"/>
      <c r="J1235" s="1266"/>
      <c r="K1235" s="1266"/>
      <c r="L1235" s="1267"/>
      <c r="M1235" s="750">
        <f t="shared" si="44"/>
        <v>0</v>
      </c>
    </row>
    <row r="1236" spans="1:13" hidden="1" x14ac:dyDescent="0.25">
      <c r="A1236" s="751" t="s">
        <v>555</v>
      </c>
      <c r="B1236" s="751"/>
      <c r="C1236" s="745" t="s">
        <v>1097</v>
      </c>
      <c r="D1236" s="762">
        <f t="shared" si="45"/>
        <v>0</v>
      </c>
      <c r="E1236" s="1264"/>
      <c r="F1236" s="1265"/>
      <c r="G1236" s="1265"/>
      <c r="H1236" s="1265"/>
      <c r="I1236" s="1266"/>
      <c r="J1236" s="1266"/>
      <c r="K1236" s="1266"/>
      <c r="L1236" s="1267"/>
      <c r="M1236" s="750">
        <f t="shared" si="44"/>
        <v>0</v>
      </c>
    </row>
    <row r="1237" spans="1:13" hidden="1" x14ac:dyDescent="0.25">
      <c r="A1237" s="751" t="s">
        <v>556</v>
      </c>
      <c r="B1237" s="751"/>
      <c r="C1237" s="745" t="s">
        <v>1098</v>
      </c>
      <c r="D1237" s="762">
        <f t="shared" si="45"/>
        <v>0</v>
      </c>
      <c r="E1237" s="1264"/>
      <c r="F1237" s="1265"/>
      <c r="G1237" s="1265"/>
      <c r="H1237" s="1265"/>
      <c r="I1237" s="1266"/>
      <c r="J1237" s="1266"/>
      <c r="K1237" s="1266"/>
      <c r="L1237" s="1267"/>
      <c r="M1237" s="750">
        <f t="shared" si="44"/>
        <v>0</v>
      </c>
    </row>
    <row r="1238" spans="1:13" hidden="1" x14ac:dyDescent="0.25">
      <c r="A1238" s="751" t="s">
        <v>557</v>
      </c>
      <c r="B1238" s="751"/>
      <c r="C1238" s="745" t="s">
        <v>1099</v>
      </c>
      <c r="D1238" s="762">
        <f t="shared" si="45"/>
        <v>0</v>
      </c>
      <c r="E1238" s="1264"/>
      <c r="F1238" s="1265"/>
      <c r="G1238" s="1265"/>
      <c r="H1238" s="1265"/>
      <c r="I1238" s="1266"/>
      <c r="J1238" s="1266"/>
      <c r="K1238" s="1266"/>
      <c r="L1238" s="1267"/>
      <c r="M1238" s="750">
        <f t="shared" si="44"/>
        <v>0</v>
      </c>
    </row>
    <row r="1239" spans="1:13" hidden="1" x14ac:dyDescent="0.25">
      <c r="A1239" s="751" t="s">
        <v>558</v>
      </c>
      <c r="B1239" s="751"/>
      <c r="C1239" s="745" t="s">
        <v>1100</v>
      </c>
      <c r="D1239" s="762">
        <f t="shared" si="45"/>
        <v>0</v>
      </c>
      <c r="E1239" s="1264"/>
      <c r="F1239" s="1265"/>
      <c r="G1239" s="1265"/>
      <c r="H1239" s="1265"/>
      <c r="I1239" s="1266"/>
      <c r="J1239" s="1266"/>
      <c r="K1239" s="1266"/>
      <c r="L1239" s="1267"/>
      <c r="M1239" s="750">
        <f t="shared" si="44"/>
        <v>0</v>
      </c>
    </row>
    <row r="1240" spans="1:13" hidden="1" x14ac:dyDescent="0.25">
      <c r="A1240" s="751" t="s">
        <v>559</v>
      </c>
      <c r="B1240" s="751"/>
      <c r="C1240" s="745" t="s">
        <v>1101</v>
      </c>
      <c r="D1240" s="762">
        <f t="shared" si="45"/>
        <v>0</v>
      </c>
      <c r="E1240" s="1264"/>
      <c r="F1240" s="1265"/>
      <c r="G1240" s="1265"/>
      <c r="H1240" s="1265"/>
      <c r="I1240" s="1266"/>
      <c r="J1240" s="1266"/>
      <c r="K1240" s="1266"/>
      <c r="L1240" s="1267"/>
      <c r="M1240" s="750">
        <f t="shared" si="44"/>
        <v>0</v>
      </c>
    </row>
    <row r="1241" spans="1:13" hidden="1" x14ac:dyDescent="0.25">
      <c r="A1241" s="751" t="s">
        <v>560</v>
      </c>
      <c r="B1241" s="751"/>
      <c r="C1241" s="745" t="s">
        <v>1102</v>
      </c>
      <c r="D1241" s="762">
        <f t="shared" si="45"/>
        <v>0</v>
      </c>
      <c r="E1241" s="1264"/>
      <c r="F1241" s="1265"/>
      <c r="G1241" s="1265"/>
      <c r="H1241" s="1265"/>
      <c r="I1241" s="1266"/>
      <c r="J1241" s="1266"/>
      <c r="K1241" s="1266"/>
      <c r="L1241" s="1267"/>
      <c r="M1241" s="750">
        <f t="shared" si="44"/>
        <v>0</v>
      </c>
    </row>
    <row r="1242" spans="1:13" hidden="1" x14ac:dyDescent="0.25">
      <c r="A1242" s="751" t="s">
        <v>561</v>
      </c>
      <c r="B1242" s="751"/>
      <c r="C1242" s="745" t="s">
        <v>1103</v>
      </c>
      <c r="D1242" s="762">
        <f t="shared" si="45"/>
        <v>0</v>
      </c>
      <c r="E1242" s="1264"/>
      <c r="F1242" s="1265"/>
      <c r="G1242" s="1265"/>
      <c r="H1242" s="1265"/>
      <c r="I1242" s="1266"/>
      <c r="J1242" s="1266"/>
      <c r="K1242" s="1266"/>
      <c r="L1242" s="1267"/>
      <c r="M1242" s="750">
        <f t="shared" si="44"/>
        <v>0</v>
      </c>
    </row>
    <row r="1243" spans="1:13" hidden="1" x14ac:dyDescent="0.25">
      <c r="A1243" s="751" t="s">
        <v>562</v>
      </c>
      <c r="B1243" s="751"/>
      <c r="C1243" s="745" t="s">
        <v>1104</v>
      </c>
      <c r="D1243" s="762">
        <f t="shared" si="45"/>
        <v>0</v>
      </c>
      <c r="E1243" s="1264"/>
      <c r="F1243" s="1265"/>
      <c r="G1243" s="1265"/>
      <c r="H1243" s="1265"/>
      <c r="I1243" s="1266"/>
      <c r="J1243" s="1266"/>
      <c r="K1243" s="1266"/>
      <c r="L1243" s="1267"/>
      <c r="M1243" s="750">
        <f t="shared" si="44"/>
        <v>0</v>
      </c>
    </row>
    <row r="1244" spans="1:13" hidden="1" x14ac:dyDescent="0.25">
      <c r="A1244" s="751" t="s">
        <v>563</v>
      </c>
      <c r="B1244" s="751"/>
      <c r="C1244" s="745" t="s">
        <v>1105</v>
      </c>
      <c r="D1244" s="762">
        <f t="shared" si="45"/>
        <v>0</v>
      </c>
      <c r="E1244" s="1264"/>
      <c r="F1244" s="1265"/>
      <c r="G1244" s="1265"/>
      <c r="H1244" s="1265"/>
      <c r="I1244" s="1266"/>
      <c r="J1244" s="1266"/>
      <c r="K1244" s="1266"/>
      <c r="L1244" s="1267"/>
      <c r="M1244" s="750">
        <f t="shared" si="44"/>
        <v>0</v>
      </c>
    </row>
    <row r="1245" spans="1:13" hidden="1" x14ac:dyDescent="0.25">
      <c r="A1245" s="751" t="s">
        <v>564</v>
      </c>
      <c r="B1245" s="751"/>
      <c r="C1245" s="745" t="s">
        <v>1106</v>
      </c>
      <c r="D1245" s="762">
        <f t="shared" si="45"/>
        <v>0</v>
      </c>
      <c r="E1245" s="1264"/>
      <c r="F1245" s="1265"/>
      <c r="G1245" s="1265"/>
      <c r="H1245" s="1265"/>
      <c r="I1245" s="1266"/>
      <c r="J1245" s="1266"/>
      <c r="K1245" s="1266"/>
      <c r="L1245" s="1267"/>
      <c r="M1245" s="750">
        <f t="shared" si="44"/>
        <v>0</v>
      </c>
    </row>
    <row r="1246" spans="1:13" hidden="1" x14ac:dyDescent="0.25">
      <c r="A1246" s="751" t="s">
        <v>565</v>
      </c>
      <c r="B1246" s="751"/>
      <c r="C1246" s="745" t="s">
        <v>1107</v>
      </c>
      <c r="D1246" s="762">
        <f t="shared" si="45"/>
        <v>0</v>
      </c>
      <c r="E1246" s="1264"/>
      <c r="F1246" s="1265"/>
      <c r="G1246" s="1265"/>
      <c r="H1246" s="1265"/>
      <c r="I1246" s="1266"/>
      <c r="J1246" s="1266"/>
      <c r="K1246" s="1266"/>
      <c r="L1246" s="1267"/>
      <c r="M1246" s="750">
        <f t="shared" si="44"/>
        <v>0</v>
      </c>
    </row>
    <row r="1247" spans="1:13" hidden="1" x14ac:dyDescent="0.25">
      <c r="A1247" s="751" t="s">
        <v>566</v>
      </c>
      <c r="B1247" s="751"/>
      <c r="C1247" s="745" t="s">
        <v>1108</v>
      </c>
      <c r="D1247" s="762">
        <f t="shared" si="45"/>
        <v>0</v>
      </c>
      <c r="E1247" s="1264"/>
      <c r="F1247" s="1265"/>
      <c r="G1247" s="1265"/>
      <c r="H1247" s="1265"/>
      <c r="I1247" s="1266"/>
      <c r="J1247" s="1266"/>
      <c r="K1247" s="1266"/>
      <c r="L1247" s="1267"/>
      <c r="M1247" s="750">
        <f t="shared" si="44"/>
        <v>0</v>
      </c>
    </row>
    <row r="1248" spans="1:13" hidden="1" x14ac:dyDescent="0.25">
      <c r="A1248" s="751" t="s">
        <v>567</v>
      </c>
      <c r="B1248" s="751"/>
      <c r="C1248" s="745" t="s">
        <v>1109</v>
      </c>
      <c r="D1248" s="762">
        <f t="shared" si="45"/>
        <v>0</v>
      </c>
      <c r="E1248" s="1264"/>
      <c r="F1248" s="1265"/>
      <c r="G1248" s="1265"/>
      <c r="H1248" s="1265"/>
      <c r="I1248" s="1266"/>
      <c r="J1248" s="1266"/>
      <c r="K1248" s="1266"/>
      <c r="L1248" s="1267"/>
      <c r="M1248" s="750">
        <f t="shared" si="44"/>
        <v>0</v>
      </c>
    </row>
    <row r="1249" spans="1:13" hidden="1" x14ac:dyDescent="0.25">
      <c r="A1249" s="751" t="s">
        <v>780</v>
      </c>
      <c r="B1249" s="751"/>
      <c r="C1249" s="745" t="s">
        <v>1110</v>
      </c>
      <c r="D1249" s="762">
        <f t="shared" si="45"/>
        <v>0</v>
      </c>
      <c r="E1249" s="1264"/>
      <c r="F1249" s="1265"/>
      <c r="G1249" s="1265"/>
      <c r="H1249" s="1265"/>
      <c r="I1249" s="1266"/>
      <c r="J1249" s="1266"/>
      <c r="K1249" s="1266"/>
      <c r="L1249" s="1267"/>
      <c r="M1249" s="750">
        <f t="shared" si="44"/>
        <v>0</v>
      </c>
    </row>
    <row r="1250" spans="1:13" hidden="1" x14ac:dyDescent="0.25">
      <c r="A1250" s="751" t="s">
        <v>781</v>
      </c>
      <c r="B1250" s="751"/>
      <c r="C1250" s="745" t="s">
        <v>1111</v>
      </c>
      <c r="D1250" s="762">
        <f t="shared" si="45"/>
        <v>0</v>
      </c>
      <c r="E1250" s="1264"/>
      <c r="F1250" s="1265"/>
      <c r="G1250" s="1265"/>
      <c r="H1250" s="1265"/>
      <c r="I1250" s="1266"/>
      <c r="J1250" s="1266"/>
      <c r="K1250" s="1266"/>
      <c r="L1250" s="1267"/>
      <c r="M1250" s="750">
        <f t="shared" si="44"/>
        <v>0</v>
      </c>
    </row>
    <row r="1251" spans="1:13" hidden="1" x14ac:dyDescent="0.25">
      <c r="A1251" s="751" t="s">
        <v>782</v>
      </c>
      <c r="B1251" s="751"/>
      <c r="C1251" s="745" t="s">
        <v>1112</v>
      </c>
      <c r="D1251" s="762">
        <f t="shared" si="45"/>
        <v>0</v>
      </c>
      <c r="E1251" s="1264"/>
      <c r="F1251" s="1265"/>
      <c r="G1251" s="1265"/>
      <c r="H1251" s="1265"/>
      <c r="I1251" s="1266"/>
      <c r="J1251" s="1266"/>
      <c r="K1251" s="1266"/>
      <c r="L1251" s="1267"/>
      <c r="M1251" s="750">
        <f t="shared" si="44"/>
        <v>0</v>
      </c>
    </row>
    <row r="1252" spans="1:13" hidden="1" x14ac:dyDescent="0.25">
      <c r="A1252" s="751" t="s">
        <v>783</v>
      </c>
      <c r="B1252" s="751"/>
      <c r="C1252" s="745" t="s">
        <v>1113</v>
      </c>
      <c r="D1252" s="762">
        <f t="shared" si="45"/>
        <v>0</v>
      </c>
      <c r="E1252" s="1264"/>
      <c r="F1252" s="1265"/>
      <c r="G1252" s="1265"/>
      <c r="H1252" s="1265"/>
      <c r="I1252" s="1266"/>
      <c r="J1252" s="1266"/>
      <c r="K1252" s="1266"/>
      <c r="L1252" s="1267"/>
      <c r="M1252" s="750">
        <f t="shared" si="44"/>
        <v>0</v>
      </c>
    </row>
    <row r="1253" spans="1:13" hidden="1" x14ac:dyDescent="0.25">
      <c r="A1253" s="751" t="s">
        <v>784</v>
      </c>
      <c r="B1253" s="751"/>
      <c r="C1253" s="745" t="s">
        <v>1114</v>
      </c>
      <c r="D1253" s="762">
        <f t="shared" si="45"/>
        <v>0</v>
      </c>
      <c r="E1253" s="1264"/>
      <c r="F1253" s="1265"/>
      <c r="G1253" s="1265"/>
      <c r="H1253" s="1265"/>
      <c r="I1253" s="1266"/>
      <c r="J1253" s="1266"/>
      <c r="K1253" s="1266"/>
      <c r="L1253" s="1267"/>
      <c r="M1253" s="750">
        <f t="shared" si="44"/>
        <v>0</v>
      </c>
    </row>
    <row r="1254" spans="1:13" hidden="1" x14ac:dyDescent="0.25">
      <c r="A1254" s="751" t="s">
        <v>785</v>
      </c>
      <c r="B1254" s="751"/>
      <c r="C1254" s="745" t="s">
        <v>1115</v>
      </c>
      <c r="D1254" s="762">
        <f t="shared" si="45"/>
        <v>0</v>
      </c>
      <c r="E1254" s="1264"/>
      <c r="F1254" s="1265"/>
      <c r="G1254" s="1265"/>
      <c r="H1254" s="1265"/>
      <c r="I1254" s="1266"/>
      <c r="J1254" s="1266"/>
      <c r="K1254" s="1266"/>
      <c r="L1254" s="1267"/>
      <c r="M1254" s="750">
        <f t="shared" si="44"/>
        <v>0</v>
      </c>
    </row>
    <row r="1255" spans="1:13" x14ac:dyDescent="0.25">
      <c r="A1255" s="751" t="s">
        <v>910</v>
      </c>
      <c r="B1255" s="751"/>
      <c r="C1255" s="745" t="s">
        <v>1116</v>
      </c>
      <c r="D1255" s="762">
        <f t="shared" si="45"/>
        <v>4000000</v>
      </c>
      <c r="E1255" s="1264">
        <v>4000000</v>
      </c>
      <c r="F1255" s="1265"/>
      <c r="G1255" s="1265"/>
      <c r="H1255" s="1265"/>
      <c r="I1255" s="1266"/>
      <c r="J1255" s="1266"/>
      <c r="K1255" s="1266"/>
      <c r="L1255" s="1267"/>
      <c r="M1255" s="750">
        <f t="shared" si="44"/>
        <v>8000000</v>
      </c>
    </row>
    <row r="1256" spans="1:13" hidden="1" x14ac:dyDescent="0.25">
      <c r="A1256" s="751" t="s">
        <v>911</v>
      </c>
      <c r="B1256" s="751"/>
      <c r="C1256" s="745" t="s">
        <v>1117</v>
      </c>
      <c r="D1256" s="762">
        <f t="shared" si="45"/>
        <v>0</v>
      </c>
      <c r="E1256" s="1264"/>
      <c r="F1256" s="1265"/>
      <c r="G1256" s="1265"/>
      <c r="H1256" s="1265"/>
      <c r="I1256" s="1266"/>
      <c r="J1256" s="1266"/>
      <c r="K1256" s="1266"/>
      <c r="L1256" s="1267"/>
      <c r="M1256" s="750">
        <f t="shared" si="44"/>
        <v>0</v>
      </c>
    </row>
    <row r="1257" spans="1:13" hidden="1" x14ac:dyDescent="0.25">
      <c r="A1257" s="751" t="s">
        <v>1118</v>
      </c>
      <c r="B1257" s="751"/>
      <c r="C1257" s="745" t="s">
        <v>1119</v>
      </c>
      <c r="D1257" s="762">
        <f t="shared" si="45"/>
        <v>0</v>
      </c>
      <c r="E1257" s="1264"/>
      <c r="F1257" s="1265"/>
      <c r="G1257" s="1265"/>
      <c r="H1257" s="1265"/>
      <c r="I1257" s="1266"/>
      <c r="J1257" s="1266"/>
      <c r="K1257" s="1266"/>
      <c r="L1257" s="1267"/>
      <c r="M1257" s="750">
        <f t="shared" si="44"/>
        <v>0</v>
      </c>
    </row>
    <row r="1258" spans="1:13" hidden="1" x14ac:dyDescent="0.25">
      <c r="A1258" s="751" t="s">
        <v>1120</v>
      </c>
      <c r="B1258" s="751"/>
      <c r="C1258" s="745" t="s">
        <v>1121</v>
      </c>
      <c r="D1258" s="762">
        <f t="shared" si="45"/>
        <v>0</v>
      </c>
      <c r="E1258" s="1264"/>
      <c r="F1258" s="1265"/>
      <c r="G1258" s="1265"/>
      <c r="H1258" s="1265"/>
      <c r="I1258" s="1266"/>
      <c r="J1258" s="1266"/>
      <c r="K1258" s="1266"/>
      <c r="L1258" s="1267"/>
      <c r="M1258" s="750">
        <f t="shared" si="44"/>
        <v>0</v>
      </c>
    </row>
    <row r="1259" spans="1:13" hidden="1" x14ac:dyDescent="0.25">
      <c r="A1259" s="751" t="s">
        <v>1122</v>
      </c>
      <c r="B1259" s="751"/>
      <c r="C1259" s="745" t="s">
        <v>1123</v>
      </c>
      <c r="D1259" s="762">
        <f t="shared" si="45"/>
        <v>0</v>
      </c>
      <c r="E1259" s="1264"/>
      <c r="F1259" s="1265"/>
      <c r="G1259" s="1265"/>
      <c r="H1259" s="1265"/>
      <c r="I1259" s="1266"/>
      <c r="J1259" s="1266"/>
      <c r="K1259" s="1266"/>
      <c r="L1259" s="1267"/>
      <c r="M1259" s="750">
        <f t="shared" si="44"/>
        <v>0</v>
      </c>
    </row>
    <row r="1260" spans="1:13" hidden="1" x14ac:dyDescent="0.25">
      <c r="A1260" s="751" t="s">
        <v>1124</v>
      </c>
      <c r="B1260" s="751"/>
      <c r="C1260" s="745" t="s">
        <v>1125</v>
      </c>
      <c r="D1260" s="762">
        <f t="shared" si="45"/>
        <v>0</v>
      </c>
      <c r="E1260" s="1264"/>
      <c r="F1260" s="1265"/>
      <c r="G1260" s="1265"/>
      <c r="H1260" s="1265"/>
      <c r="I1260" s="1266"/>
      <c r="J1260" s="1266"/>
      <c r="K1260" s="1266"/>
      <c r="L1260" s="1267"/>
      <c r="M1260" s="750">
        <f t="shared" si="44"/>
        <v>0</v>
      </c>
    </row>
    <row r="1261" spans="1:13" x14ac:dyDescent="0.25">
      <c r="A1261" s="751" t="s">
        <v>1126</v>
      </c>
      <c r="B1261" s="751"/>
      <c r="C1261" s="745" t="s">
        <v>1127</v>
      </c>
      <c r="D1261" s="762">
        <f t="shared" si="45"/>
        <v>1000000</v>
      </c>
      <c r="E1261" s="1264">
        <v>1000000</v>
      </c>
      <c r="F1261" s="1265"/>
      <c r="G1261" s="1265"/>
      <c r="H1261" s="1265"/>
      <c r="I1261" s="1266"/>
      <c r="J1261" s="1266"/>
      <c r="K1261" s="1266"/>
      <c r="L1261" s="1267"/>
      <c r="M1261" s="750">
        <f t="shared" si="44"/>
        <v>2000000</v>
      </c>
    </row>
    <row r="1262" spans="1:13" hidden="1" x14ac:dyDescent="0.25">
      <c r="A1262" s="751" t="s">
        <v>1128</v>
      </c>
      <c r="B1262" s="751"/>
      <c r="C1262" s="745" t="s">
        <v>1129</v>
      </c>
      <c r="D1262" s="762">
        <f t="shared" si="45"/>
        <v>0</v>
      </c>
      <c r="E1262" s="1264"/>
      <c r="F1262" s="1265"/>
      <c r="G1262" s="1265"/>
      <c r="H1262" s="1265"/>
      <c r="I1262" s="1266"/>
      <c r="J1262" s="1266"/>
      <c r="K1262" s="1266"/>
      <c r="L1262" s="1267"/>
      <c r="M1262" s="750">
        <f t="shared" si="44"/>
        <v>0</v>
      </c>
    </row>
    <row r="1263" spans="1:13" hidden="1" x14ac:dyDescent="0.25">
      <c r="A1263" s="751" t="s">
        <v>1130</v>
      </c>
      <c r="B1263" s="751"/>
      <c r="C1263" s="745" t="s">
        <v>1131</v>
      </c>
      <c r="D1263" s="762">
        <f t="shared" si="45"/>
        <v>0</v>
      </c>
      <c r="E1263" s="1264"/>
      <c r="F1263" s="1265"/>
      <c r="G1263" s="1265"/>
      <c r="H1263" s="1265"/>
      <c r="I1263" s="1266"/>
      <c r="J1263" s="1266"/>
      <c r="K1263" s="1266"/>
      <c r="L1263" s="1267"/>
      <c r="M1263" s="750">
        <f t="shared" si="44"/>
        <v>0</v>
      </c>
    </row>
    <row r="1264" spans="1:13" hidden="1" x14ac:dyDescent="0.25">
      <c r="A1264" s="751" t="s">
        <v>1132</v>
      </c>
      <c r="B1264" s="751"/>
      <c r="C1264" s="745" t="s">
        <v>1133</v>
      </c>
      <c r="D1264" s="762">
        <f t="shared" si="45"/>
        <v>0</v>
      </c>
      <c r="E1264" s="1264"/>
      <c r="F1264" s="1265"/>
      <c r="G1264" s="1265"/>
      <c r="H1264" s="1265"/>
      <c r="I1264" s="1266"/>
      <c r="J1264" s="1266"/>
      <c r="K1264" s="1266"/>
      <c r="L1264" s="1267"/>
      <c r="M1264" s="750">
        <f t="shared" si="44"/>
        <v>0</v>
      </c>
    </row>
    <row r="1265" spans="1:16" hidden="1" x14ac:dyDescent="0.25">
      <c r="A1265" s="751" t="s">
        <v>1134</v>
      </c>
      <c r="B1265" s="751"/>
      <c r="C1265" s="745" t="s">
        <v>1135</v>
      </c>
      <c r="D1265" s="762">
        <f t="shared" si="45"/>
        <v>0</v>
      </c>
      <c r="E1265" s="1264"/>
      <c r="F1265" s="1265"/>
      <c r="G1265" s="1265"/>
      <c r="H1265" s="1265"/>
      <c r="I1265" s="1266"/>
      <c r="J1265" s="1266"/>
      <c r="K1265" s="1266"/>
      <c r="L1265" s="1267"/>
      <c r="M1265" s="750">
        <f t="shared" si="44"/>
        <v>0</v>
      </c>
    </row>
    <row r="1266" spans="1:16" x14ac:dyDescent="0.25">
      <c r="A1266" s="751" t="s">
        <v>1136</v>
      </c>
      <c r="B1266" s="751"/>
      <c r="C1266" s="745" t="s">
        <v>1137</v>
      </c>
      <c r="D1266" s="762">
        <f t="shared" si="45"/>
        <v>1000000</v>
      </c>
      <c r="E1266" s="1264">
        <v>1000000</v>
      </c>
      <c r="F1266" s="1265"/>
      <c r="G1266" s="1265"/>
      <c r="H1266" s="1265"/>
      <c r="I1266" s="1266"/>
      <c r="J1266" s="1266"/>
      <c r="K1266" s="1266"/>
      <c r="L1266" s="1267"/>
      <c r="M1266" s="750">
        <f t="shared" si="44"/>
        <v>2000000</v>
      </c>
    </row>
    <row r="1267" spans="1:16" hidden="1" x14ac:dyDescent="0.25">
      <c r="A1267" s="751" t="s">
        <v>1138</v>
      </c>
      <c r="B1267" s="751"/>
      <c r="C1267" s="745" t="s">
        <v>1139</v>
      </c>
      <c r="D1267" s="762">
        <f t="shared" si="45"/>
        <v>0</v>
      </c>
      <c r="E1267" s="1264"/>
      <c r="F1267" s="1265"/>
      <c r="G1267" s="1265"/>
      <c r="H1267" s="1265"/>
      <c r="I1267" s="1266"/>
      <c r="J1267" s="1266"/>
      <c r="K1267" s="1266"/>
      <c r="L1267" s="1267"/>
      <c r="M1267" s="750">
        <f t="shared" si="44"/>
        <v>0</v>
      </c>
    </row>
    <row r="1268" spans="1:16" hidden="1" x14ac:dyDescent="0.25">
      <c r="A1268" s="751" t="s">
        <v>1140</v>
      </c>
      <c r="B1268" s="751"/>
      <c r="C1268" s="745" t="s">
        <v>1141</v>
      </c>
      <c r="D1268" s="762">
        <f t="shared" si="45"/>
        <v>0</v>
      </c>
      <c r="E1268" s="1264"/>
      <c r="F1268" s="1265"/>
      <c r="G1268" s="1265"/>
      <c r="H1268" s="1265"/>
      <c r="I1268" s="1266"/>
      <c r="J1268" s="1266"/>
      <c r="K1268" s="1266"/>
      <c r="L1268" s="1267"/>
      <c r="M1268" s="750">
        <f t="shared" si="44"/>
        <v>0</v>
      </c>
    </row>
    <row r="1269" spans="1:16" hidden="1" x14ac:dyDescent="0.25">
      <c r="A1269" s="751" t="s">
        <v>1142</v>
      </c>
      <c r="B1269" s="751"/>
      <c r="C1269" s="745" t="s">
        <v>1143</v>
      </c>
      <c r="D1269" s="762">
        <f t="shared" si="45"/>
        <v>0</v>
      </c>
      <c r="E1269" s="1264"/>
      <c r="F1269" s="1265"/>
      <c r="G1269" s="1265"/>
      <c r="H1269" s="1265"/>
      <c r="I1269" s="1266"/>
      <c r="J1269" s="1266"/>
      <c r="K1269" s="1266"/>
      <c r="L1269" s="1267"/>
      <c r="M1269" s="750">
        <f t="shared" si="44"/>
        <v>0</v>
      </c>
    </row>
    <row r="1270" spans="1:16" hidden="1" x14ac:dyDescent="0.25">
      <c r="A1270" s="751" t="s">
        <v>1144</v>
      </c>
      <c r="B1270" s="751"/>
      <c r="C1270" s="745" t="s">
        <v>1145</v>
      </c>
      <c r="D1270" s="762">
        <f t="shared" si="45"/>
        <v>0</v>
      </c>
      <c r="E1270" s="1264"/>
      <c r="F1270" s="1265"/>
      <c r="G1270" s="1265"/>
      <c r="H1270" s="1265"/>
      <c r="I1270" s="1266"/>
      <c r="J1270" s="1266"/>
      <c r="K1270" s="1266"/>
      <c r="L1270" s="1267"/>
      <c r="M1270" s="750">
        <f>SUM(D1270:H1270)</f>
        <v>0</v>
      </c>
    </row>
    <row r="1271" spans="1:16" hidden="1" x14ac:dyDescent="0.25">
      <c r="A1271" s="751" t="s">
        <v>1146</v>
      </c>
      <c r="B1271" s="751"/>
      <c r="C1271" s="745" t="s">
        <v>1147</v>
      </c>
      <c r="D1271" s="762">
        <f t="shared" si="45"/>
        <v>0</v>
      </c>
      <c r="E1271" s="1264"/>
      <c r="F1271" s="1265"/>
      <c r="G1271" s="1265"/>
      <c r="H1271" s="1265"/>
      <c r="I1271" s="1266"/>
      <c r="J1271" s="1266"/>
      <c r="K1271" s="1266"/>
      <c r="L1271" s="1267"/>
      <c r="M1271" s="750">
        <f>SUM(D1271:H1271)</f>
        <v>0</v>
      </c>
    </row>
    <row r="1272" spans="1:16" hidden="1" x14ac:dyDescent="0.25">
      <c r="A1272" s="751" t="s">
        <v>1148</v>
      </c>
      <c r="B1272" s="751"/>
      <c r="C1272" s="745" t="s">
        <v>1149</v>
      </c>
      <c r="D1272" s="762">
        <f>E1272</f>
        <v>0</v>
      </c>
      <c r="E1272" s="1264"/>
      <c r="F1272" s="1265"/>
      <c r="G1272" s="1265"/>
      <c r="H1272" s="1265"/>
      <c r="I1272" s="1266"/>
      <c r="J1272" s="1266"/>
      <c r="K1272" s="1266"/>
      <c r="L1272" s="1267"/>
      <c r="M1272" s="750">
        <f>SUM(D1272:H1272)</f>
        <v>0</v>
      </c>
    </row>
    <row r="1273" spans="1:16" ht="18.75" hidden="1" x14ac:dyDescent="0.25">
      <c r="A1273" s="788"/>
      <c r="B1273" s="788"/>
      <c r="C1273" s="759" t="s">
        <v>168</v>
      </c>
      <c r="D1273" s="762">
        <f>E1273</f>
        <v>0</v>
      </c>
      <c r="E1273" s="1264"/>
      <c r="F1273" s="1265"/>
      <c r="G1273" s="1265"/>
      <c r="H1273" s="1265"/>
      <c r="I1273" s="1266"/>
      <c r="J1273" s="1266"/>
      <c r="K1273" s="1266"/>
      <c r="L1273" s="1267"/>
      <c r="M1273" s="750"/>
    </row>
    <row r="1274" spans="1:16" ht="48.6" customHeight="1" x14ac:dyDescent="0.25">
      <c r="A1274" s="1775" t="s">
        <v>399</v>
      </c>
      <c r="B1274" s="1776">
        <v>9770</v>
      </c>
      <c r="C1274" s="1777" t="s">
        <v>305</v>
      </c>
      <c r="D1274" s="1089">
        <f>SUM(D1277:D1343)</f>
        <v>500000</v>
      </c>
      <c r="E1274" s="1835" t="s">
        <v>1176</v>
      </c>
      <c r="F1274" s="1836"/>
      <c r="G1274" s="1836"/>
      <c r="H1274" s="1836"/>
      <c r="I1274" s="1836"/>
      <c r="J1274" s="1836"/>
      <c r="K1274" s="1836"/>
      <c r="L1274" s="1837"/>
      <c r="M1274" s="750">
        <f>SUM(D1274:H1274)</f>
        <v>500000</v>
      </c>
    </row>
    <row r="1275" spans="1:16" ht="18.75" x14ac:dyDescent="0.25">
      <c r="A1275" s="1775"/>
      <c r="B1275" s="1776"/>
      <c r="C1275" s="1777"/>
      <c r="D1275" s="1099"/>
      <c r="E1275" s="1289" t="s">
        <v>1155</v>
      </c>
      <c r="F1275" s="1290"/>
      <c r="G1275" s="1290"/>
      <c r="H1275" s="1290"/>
      <c r="I1275" s="1291"/>
      <c r="J1275" s="1291"/>
      <c r="K1275" s="1291"/>
      <c r="L1275" s="1292"/>
      <c r="M1275" s="750">
        <v>1</v>
      </c>
      <c r="O1275" s="857" t="b">
        <f>D1344=дод3!J262</f>
        <v>1</v>
      </c>
      <c r="P1275" s="851"/>
    </row>
    <row r="1276" spans="1:16" ht="20.45" customHeight="1" x14ac:dyDescent="0.25">
      <c r="A1276" s="1775"/>
      <c r="B1276" s="1776"/>
      <c r="C1276" s="1777"/>
      <c r="D1276" s="1098"/>
      <c r="E1276" s="1295" t="s">
        <v>1390</v>
      </c>
      <c r="F1276" s="1296"/>
      <c r="G1276" s="1296"/>
      <c r="H1276" s="1296"/>
      <c r="I1276" s="1283"/>
      <c r="J1276" s="1283"/>
      <c r="K1276" s="1283"/>
      <c r="L1276" s="1284"/>
      <c r="M1276" s="750">
        <v>1</v>
      </c>
    </row>
    <row r="1277" spans="1:16" hidden="1" x14ac:dyDescent="0.25">
      <c r="A1277" s="751" t="s">
        <v>526</v>
      </c>
      <c r="B1277" s="751"/>
      <c r="C1277" s="745" t="s">
        <v>1060</v>
      </c>
      <c r="D1277" s="888">
        <f>E1277</f>
        <v>0</v>
      </c>
      <c r="E1277" s="1297"/>
      <c r="F1277" s="1298"/>
      <c r="G1277" s="1298"/>
      <c r="H1277" s="1298"/>
      <c r="I1277" s="1298"/>
      <c r="J1277" s="1298"/>
      <c r="K1277" s="1298"/>
      <c r="L1277" s="1299"/>
      <c r="M1277" s="750">
        <f t="shared" ref="M1277:M1301" si="46">SUM(D1277:H1277)</f>
        <v>0</v>
      </c>
    </row>
    <row r="1278" spans="1:16" hidden="1" x14ac:dyDescent="0.25">
      <c r="A1278" s="751" t="s">
        <v>527</v>
      </c>
      <c r="B1278" s="751"/>
      <c r="C1278" s="745" t="s">
        <v>1069</v>
      </c>
      <c r="D1278" s="888">
        <f t="shared" ref="D1278:D1341" si="47">E1278</f>
        <v>0</v>
      </c>
      <c r="E1278" s="1297"/>
      <c r="F1278" s="1298"/>
      <c r="G1278" s="1298"/>
      <c r="H1278" s="1298"/>
      <c r="I1278" s="1298"/>
      <c r="J1278" s="1298"/>
      <c r="K1278" s="1298"/>
      <c r="L1278" s="1299"/>
      <c r="M1278" s="750">
        <f t="shared" si="46"/>
        <v>0</v>
      </c>
    </row>
    <row r="1279" spans="1:16" hidden="1" x14ac:dyDescent="0.25">
      <c r="A1279" s="751" t="s">
        <v>528</v>
      </c>
      <c r="B1279" s="751"/>
      <c r="C1279" s="745" t="s">
        <v>1070</v>
      </c>
      <c r="D1279" s="888">
        <f t="shared" si="47"/>
        <v>0</v>
      </c>
      <c r="E1279" s="1297"/>
      <c r="F1279" s="1298"/>
      <c r="G1279" s="1298"/>
      <c r="H1279" s="1298"/>
      <c r="I1279" s="1298"/>
      <c r="J1279" s="1298"/>
      <c r="K1279" s="1298"/>
      <c r="L1279" s="1299"/>
      <c r="M1279" s="750">
        <f t="shared" si="46"/>
        <v>0</v>
      </c>
    </row>
    <row r="1280" spans="1:16" hidden="1" x14ac:dyDescent="0.25">
      <c r="A1280" s="751" t="s">
        <v>529</v>
      </c>
      <c r="B1280" s="751"/>
      <c r="C1280" s="745" t="s">
        <v>1071</v>
      </c>
      <c r="D1280" s="888">
        <f t="shared" si="47"/>
        <v>0</v>
      </c>
      <c r="E1280" s="1297"/>
      <c r="F1280" s="1298"/>
      <c r="G1280" s="1298"/>
      <c r="H1280" s="1298"/>
      <c r="I1280" s="1298"/>
      <c r="J1280" s="1298"/>
      <c r="K1280" s="1298"/>
      <c r="L1280" s="1299"/>
      <c r="M1280" s="750">
        <f t="shared" si="46"/>
        <v>0</v>
      </c>
    </row>
    <row r="1281" spans="1:13" hidden="1" x14ac:dyDescent="0.25">
      <c r="A1281" s="751" t="s">
        <v>530</v>
      </c>
      <c r="B1281" s="751"/>
      <c r="C1281" s="745" t="s">
        <v>1072</v>
      </c>
      <c r="D1281" s="888">
        <f t="shared" si="47"/>
        <v>0</v>
      </c>
      <c r="E1281" s="1297"/>
      <c r="F1281" s="1298"/>
      <c r="G1281" s="1298"/>
      <c r="H1281" s="1298"/>
      <c r="I1281" s="1298"/>
      <c r="J1281" s="1298"/>
      <c r="K1281" s="1298"/>
      <c r="L1281" s="1299"/>
      <c r="M1281" s="750">
        <f t="shared" si="46"/>
        <v>0</v>
      </c>
    </row>
    <row r="1282" spans="1:13" hidden="1" x14ac:dyDescent="0.25">
      <c r="A1282" s="751" t="s">
        <v>531</v>
      </c>
      <c r="B1282" s="751"/>
      <c r="C1282" s="745" t="s">
        <v>1073</v>
      </c>
      <c r="D1282" s="888">
        <f t="shared" si="47"/>
        <v>0</v>
      </c>
      <c r="E1282" s="1297"/>
      <c r="F1282" s="1298"/>
      <c r="G1282" s="1298"/>
      <c r="H1282" s="1298"/>
      <c r="I1282" s="1298"/>
      <c r="J1282" s="1298"/>
      <c r="K1282" s="1298"/>
      <c r="L1282" s="1299"/>
      <c r="M1282" s="750">
        <f t="shared" si="46"/>
        <v>0</v>
      </c>
    </row>
    <row r="1283" spans="1:13" hidden="1" x14ac:dyDescent="0.25">
      <c r="A1283" s="751" t="s">
        <v>532</v>
      </c>
      <c r="B1283" s="751"/>
      <c r="C1283" s="745" t="s">
        <v>1074</v>
      </c>
      <c r="D1283" s="888">
        <f t="shared" si="47"/>
        <v>0</v>
      </c>
      <c r="E1283" s="1297"/>
      <c r="F1283" s="1298"/>
      <c r="G1283" s="1298"/>
      <c r="H1283" s="1298"/>
      <c r="I1283" s="1298"/>
      <c r="J1283" s="1298"/>
      <c r="K1283" s="1298"/>
      <c r="L1283" s="1299"/>
      <c r="M1283" s="750">
        <f t="shared" si="46"/>
        <v>0</v>
      </c>
    </row>
    <row r="1284" spans="1:13" hidden="1" x14ac:dyDescent="0.25">
      <c r="A1284" s="751" t="s">
        <v>533</v>
      </c>
      <c r="B1284" s="751"/>
      <c r="C1284" s="745" t="s">
        <v>1075</v>
      </c>
      <c r="D1284" s="888">
        <f t="shared" si="47"/>
        <v>0</v>
      </c>
      <c r="E1284" s="1297"/>
      <c r="F1284" s="1298"/>
      <c r="G1284" s="1298"/>
      <c r="H1284" s="1298"/>
      <c r="I1284" s="1298"/>
      <c r="J1284" s="1298"/>
      <c r="K1284" s="1298"/>
      <c r="L1284" s="1299"/>
      <c r="M1284" s="750">
        <f t="shared" si="46"/>
        <v>0</v>
      </c>
    </row>
    <row r="1285" spans="1:13" hidden="1" x14ac:dyDescent="0.25">
      <c r="A1285" s="751" t="s">
        <v>534</v>
      </c>
      <c r="B1285" s="751"/>
      <c r="C1285" s="745" t="s">
        <v>1076</v>
      </c>
      <c r="D1285" s="888">
        <f t="shared" si="47"/>
        <v>0</v>
      </c>
      <c r="E1285" s="1297"/>
      <c r="F1285" s="1298"/>
      <c r="G1285" s="1298"/>
      <c r="H1285" s="1298"/>
      <c r="I1285" s="1298"/>
      <c r="J1285" s="1298"/>
      <c r="K1285" s="1298"/>
      <c r="L1285" s="1299"/>
      <c r="M1285" s="750">
        <f t="shared" si="46"/>
        <v>0</v>
      </c>
    </row>
    <row r="1286" spans="1:13" hidden="1" x14ac:dyDescent="0.25">
      <c r="A1286" s="751" t="s">
        <v>535</v>
      </c>
      <c r="B1286" s="751"/>
      <c r="C1286" s="745" t="s">
        <v>1077</v>
      </c>
      <c r="D1286" s="888">
        <f t="shared" si="47"/>
        <v>0</v>
      </c>
      <c r="E1286" s="1297"/>
      <c r="F1286" s="1298"/>
      <c r="G1286" s="1298"/>
      <c r="H1286" s="1298"/>
      <c r="I1286" s="1298"/>
      <c r="J1286" s="1298"/>
      <c r="K1286" s="1298"/>
      <c r="L1286" s="1299"/>
      <c r="M1286" s="750">
        <f t="shared" si="46"/>
        <v>0</v>
      </c>
    </row>
    <row r="1287" spans="1:13" hidden="1" x14ac:dyDescent="0.25">
      <c r="A1287" s="751" t="s">
        <v>536</v>
      </c>
      <c r="B1287" s="751"/>
      <c r="C1287" s="745" t="s">
        <v>1078</v>
      </c>
      <c r="D1287" s="888">
        <f t="shared" si="47"/>
        <v>0</v>
      </c>
      <c r="E1287" s="1297"/>
      <c r="F1287" s="1298"/>
      <c r="G1287" s="1298"/>
      <c r="H1287" s="1298"/>
      <c r="I1287" s="1298"/>
      <c r="J1287" s="1298"/>
      <c r="K1287" s="1298"/>
      <c r="L1287" s="1299"/>
      <c r="M1287" s="750">
        <f t="shared" si="46"/>
        <v>0</v>
      </c>
    </row>
    <row r="1288" spans="1:13" hidden="1" x14ac:dyDescent="0.25">
      <c r="A1288" s="751" t="s">
        <v>537</v>
      </c>
      <c r="B1288" s="751"/>
      <c r="C1288" s="745" t="s">
        <v>1079</v>
      </c>
      <c r="D1288" s="888">
        <f t="shared" si="47"/>
        <v>0</v>
      </c>
      <c r="E1288" s="1297"/>
      <c r="F1288" s="1298"/>
      <c r="G1288" s="1298"/>
      <c r="H1288" s="1298"/>
      <c r="I1288" s="1298"/>
      <c r="J1288" s="1298"/>
      <c r="K1288" s="1298"/>
      <c r="L1288" s="1299"/>
      <c r="M1288" s="750">
        <f t="shared" si="46"/>
        <v>0</v>
      </c>
    </row>
    <row r="1289" spans="1:13" hidden="1" x14ac:dyDescent="0.25">
      <c r="A1289" s="751" t="s">
        <v>538</v>
      </c>
      <c r="B1289" s="751"/>
      <c r="C1289" s="745" t="s">
        <v>1080</v>
      </c>
      <c r="D1289" s="888">
        <f t="shared" si="47"/>
        <v>0</v>
      </c>
      <c r="E1289" s="1297"/>
      <c r="F1289" s="1298"/>
      <c r="G1289" s="1298"/>
      <c r="H1289" s="1298"/>
      <c r="I1289" s="1298"/>
      <c r="J1289" s="1298"/>
      <c r="K1289" s="1298"/>
      <c r="L1289" s="1299"/>
      <c r="M1289" s="750">
        <f t="shared" si="46"/>
        <v>0</v>
      </c>
    </row>
    <row r="1290" spans="1:13" hidden="1" x14ac:dyDescent="0.25">
      <c r="A1290" s="751" t="s">
        <v>539</v>
      </c>
      <c r="B1290" s="751"/>
      <c r="C1290" s="745" t="s">
        <v>1081</v>
      </c>
      <c r="D1290" s="888">
        <f t="shared" si="47"/>
        <v>0</v>
      </c>
      <c r="E1290" s="1297"/>
      <c r="F1290" s="1298"/>
      <c r="G1290" s="1298"/>
      <c r="H1290" s="1298"/>
      <c r="I1290" s="1298"/>
      <c r="J1290" s="1298"/>
      <c r="K1290" s="1298"/>
      <c r="L1290" s="1299"/>
      <c r="M1290" s="750">
        <f t="shared" si="46"/>
        <v>0</v>
      </c>
    </row>
    <row r="1291" spans="1:13" hidden="1" x14ac:dyDescent="0.25">
      <c r="A1291" s="751" t="s">
        <v>540</v>
      </c>
      <c r="B1291" s="751"/>
      <c r="C1291" s="745" t="s">
        <v>1082</v>
      </c>
      <c r="D1291" s="888">
        <f t="shared" si="47"/>
        <v>0</v>
      </c>
      <c r="E1291" s="1297"/>
      <c r="F1291" s="1298"/>
      <c r="G1291" s="1298"/>
      <c r="H1291" s="1298"/>
      <c r="I1291" s="1298"/>
      <c r="J1291" s="1298"/>
      <c r="K1291" s="1298"/>
      <c r="L1291" s="1299"/>
      <c r="M1291" s="750">
        <f t="shared" si="46"/>
        <v>0</v>
      </c>
    </row>
    <row r="1292" spans="1:13" hidden="1" x14ac:dyDescent="0.25">
      <c r="A1292" s="751" t="s">
        <v>541</v>
      </c>
      <c r="B1292" s="751"/>
      <c r="C1292" s="745" t="s">
        <v>1083</v>
      </c>
      <c r="D1292" s="888">
        <f t="shared" si="47"/>
        <v>0</v>
      </c>
      <c r="E1292" s="1297"/>
      <c r="F1292" s="1298"/>
      <c r="G1292" s="1298"/>
      <c r="H1292" s="1298"/>
      <c r="I1292" s="1298"/>
      <c r="J1292" s="1298"/>
      <c r="K1292" s="1298"/>
      <c r="L1292" s="1299"/>
      <c r="M1292" s="750">
        <f t="shared" si="46"/>
        <v>0</v>
      </c>
    </row>
    <row r="1293" spans="1:13" hidden="1" x14ac:dyDescent="0.25">
      <c r="A1293" s="751" t="s">
        <v>542</v>
      </c>
      <c r="B1293" s="751"/>
      <c r="C1293" s="745" t="s">
        <v>1084</v>
      </c>
      <c r="D1293" s="888">
        <f t="shared" si="47"/>
        <v>0</v>
      </c>
      <c r="E1293" s="1297"/>
      <c r="F1293" s="1298"/>
      <c r="G1293" s="1298"/>
      <c r="H1293" s="1298"/>
      <c r="I1293" s="1298"/>
      <c r="J1293" s="1298"/>
      <c r="K1293" s="1298"/>
      <c r="L1293" s="1299"/>
      <c r="M1293" s="750">
        <f t="shared" si="46"/>
        <v>0</v>
      </c>
    </row>
    <row r="1294" spans="1:13" hidden="1" x14ac:dyDescent="0.25">
      <c r="A1294" s="751" t="s">
        <v>543</v>
      </c>
      <c r="B1294" s="751"/>
      <c r="C1294" s="745" t="s">
        <v>1085</v>
      </c>
      <c r="D1294" s="888">
        <f t="shared" si="47"/>
        <v>0</v>
      </c>
      <c r="E1294" s="1297"/>
      <c r="F1294" s="1298"/>
      <c r="G1294" s="1298"/>
      <c r="H1294" s="1298"/>
      <c r="I1294" s="1298"/>
      <c r="J1294" s="1298"/>
      <c r="K1294" s="1298"/>
      <c r="L1294" s="1299"/>
      <c r="M1294" s="750">
        <f t="shared" si="46"/>
        <v>0</v>
      </c>
    </row>
    <row r="1295" spans="1:13" hidden="1" x14ac:dyDescent="0.25">
      <c r="A1295" s="751" t="s">
        <v>544</v>
      </c>
      <c r="B1295" s="751"/>
      <c r="C1295" s="745" t="s">
        <v>1086</v>
      </c>
      <c r="D1295" s="888">
        <f t="shared" si="47"/>
        <v>0</v>
      </c>
      <c r="E1295" s="1297"/>
      <c r="F1295" s="1298"/>
      <c r="G1295" s="1298"/>
      <c r="H1295" s="1298"/>
      <c r="I1295" s="1298"/>
      <c r="J1295" s="1298"/>
      <c r="K1295" s="1298"/>
      <c r="L1295" s="1299"/>
      <c r="M1295" s="750">
        <f t="shared" si="46"/>
        <v>0</v>
      </c>
    </row>
    <row r="1296" spans="1:13" hidden="1" x14ac:dyDescent="0.25">
      <c r="A1296" s="751" t="s">
        <v>545</v>
      </c>
      <c r="B1296" s="751"/>
      <c r="C1296" s="745" t="s">
        <v>1087</v>
      </c>
      <c r="D1296" s="888">
        <f t="shared" si="47"/>
        <v>0</v>
      </c>
      <c r="E1296" s="1297"/>
      <c r="F1296" s="1298"/>
      <c r="G1296" s="1298"/>
      <c r="H1296" s="1298"/>
      <c r="I1296" s="1298"/>
      <c r="J1296" s="1298"/>
      <c r="K1296" s="1298"/>
      <c r="L1296" s="1299"/>
      <c r="M1296" s="750">
        <f t="shared" si="46"/>
        <v>0</v>
      </c>
    </row>
    <row r="1297" spans="1:13" hidden="1" x14ac:dyDescent="0.25">
      <c r="A1297" s="751" t="s">
        <v>546</v>
      </c>
      <c r="B1297" s="751"/>
      <c r="C1297" s="745" t="s">
        <v>1088</v>
      </c>
      <c r="D1297" s="888">
        <f t="shared" si="47"/>
        <v>0</v>
      </c>
      <c r="E1297" s="1297"/>
      <c r="F1297" s="1298"/>
      <c r="G1297" s="1298"/>
      <c r="H1297" s="1298"/>
      <c r="I1297" s="1298"/>
      <c r="J1297" s="1298"/>
      <c r="K1297" s="1298"/>
      <c r="L1297" s="1299"/>
      <c r="M1297" s="750">
        <f t="shared" si="46"/>
        <v>0</v>
      </c>
    </row>
    <row r="1298" spans="1:13" hidden="1" x14ac:dyDescent="0.25">
      <c r="A1298" s="751" t="s">
        <v>547</v>
      </c>
      <c r="B1298" s="751"/>
      <c r="C1298" s="745" t="s">
        <v>1089</v>
      </c>
      <c r="D1298" s="888">
        <f t="shared" si="47"/>
        <v>0</v>
      </c>
      <c r="E1298" s="1297"/>
      <c r="F1298" s="1298"/>
      <c r="G1298" s="1298"/>
      <c r="H1298" s="1298"/>
      <c r="I1298" s="1298"/>
      <c r="J1298" s="1298"/>
      <c r="K1298" s="1298"/>
      <c r="L1298" s="1299"/>
      <c r="M1298" s="750">
        <f t="shared" si="46"/>
        <v>0</v>
      </c>
    </row>
    <row r="1299" spans="1:13" hidden="1" x14ac:dyDescent="0.25">
      <c r="A1299" s="751" t="s">
        <v>548</v>
      </c>
      <c r="B1299" s="751"/>
      <c r="C1299" s="745" t="s">
        <v>1090</v>
      </c>
      <c r="D1299" s="888">
        <f t="shared" si="47"/>
        <v>0</v>
      </c>
      <c r="E1299" s="1297"/>
      <c r="F1299" s="1298"/>
      <c r="G1299" s="1298"/>
      <c r="H1299" s="1298"/>
      <c r="I1299" s="1298"/>
      <c r="J1299" s="1298"/>
      <c r="K1299" s="1298"/>
      <c r="L1299" s="1299"/>
      <c r="M1299" s="750">
        <f t="shared" si="46"/>
        <v>0</v>
      </c>
    </row>
    <row r="1300" spans="1:13" hidden="1" x14ac:dyDescent="0.25">
      <c r="A1300" s="751" t="s">
        <v>549</v>
      </c>
      <c r="B1300" s="751"/>
      <c r="C1300" s="745" t="s">
        <v>1091</v>
      </c>
      <c r="D1300" s="888">
        <f t="shared" si="47"/>
        <v>0</v>
      </c>
      <c r="E1300" s="1297"/>
      <c r="F1300" s="1298"/>
      <c r="G1300" s="1298"/>
      <c r="H1300" s="1298"/>
      <c r="I1300" s="1298"/>
      <c r="J1300" s="1298"/>
      <c r="K1300" s="1298"/>
      <c r="L1300" s="1299"/>
      <c r="M1300" s="750">
        <f t="shared" si="46"/>
        <v>0</v>
      </c>
    </row>
    <row r="1301" spans="1:13" hidden="1" x14ac:dyDescent="0.25">
      <c r="A1301" s="751" t="s">
        <v>550</v>
      </c>
      <c r="B1301" s="751"/>
      <c r="C1301" s="745" t="s">
        <v>1092</v>
      </c>
      <c r="D1301" s="888">
        <f t="shared" si="47"/>
        <v>0</v>
      </c>
      <c r="E1301" s="1297"/>
      <c r="F1301" s="1298"/>
      <c r="G1301" s="1298"/>
      <c r="H1301" s="1298"/>
      <c r="I1301" s="1298"/>
      <c r="J1301" s="1298"/>
      <c r="K1301" s="1298"/>
      <c r="L1301" s="1299"/>
      <c r="M1301" s="750">
        <f t="shared" si="46"/>
        <v>0</v>
      </c>
    </row>
    <row r="1302" spans="1:13" hidden="1" x14ac:dyDescent="0.25">
      <c r="A1302" s="751" t="s">
        <v>551</v>
      </c>
      <c r="B1302" s="751"/>
      <c r="C1302" s="745" t="s">
        <v>1093</v>
      </c>
      <c r="D1302" s="888">
        <f t="shared" si="47"/>
        <v>0</v>
      </c>
      <c r="E1302" s="1297"/>
      <c r="F1302" s="1298"/>
      <c r="G1302" s="1298"/>
      <c r="H1302" s="1298"/>
      <c r="I1302" s="1298"/>
      <c r="J1302" s="1298"/>
      <c r="K1302" s="1298"/>
      <c r="L1302" s="1299"/>
      <c r="M1302" s="750">
        <f t="shared" ref="M1302:M1365" si="48">SUM(D1302:H1302)</f>
        <v>0</v>
      </c>
    </row>
    <row r="1303" spans="1:13" hidden="1" x14ac:dyDescent="0.25">
      <c r="A1303" s="751" t="s">
        <v>552</v>
      </c>
      <c r="B1303" s="751"/>
      <c r="C1303" s="745" t="s">
        <v>1094</v>
      </c>
      <c r="D1303" s="888">
        <f t="shared" si="47"/>
        <v>0</v>
      </c>
      <c r="E1303" s="1297"/>
      <c r="F1303" s="1298"/>
      <c r="G1303" s="1298"/>
      <c r="H1303" s="1298"/>
      <c r="I1303" s="1298"/>
      <c r="J1303" s="1298"/>
      <c r="K1303" s="1298"/>
      <c r="L1303" s="1299"/>
      <c r="M1303" s="750">
        <f t="shared" si="48"/>
        <v>0</v>
      </c>
    </row>
    <row r="1304" spans="1:13" hidden="1" x14ac:dyDescent="0.25">
      <c r="A1304" s="751" t="s">
        <v>553</v>
      </c>
      <c r="B1304" s="751"/>
      <c r="C1304" s="745" t="s">
        <v>1095</v>
      </c>
      <c r="D1304" s="888">
        <f t="shared" si="47"/>
        <v>0</v>
      </c>
      <c r="E1304" s="1297"/>
      <c r="F1304" s="1298"/>
      <c r="G1304" s="1298"/>
      <c r="H1304" s="1298"/>
      <c r="I1304" s="1298"/>
      <c r="J1304" s="1298"/>
      <c r="K1304" s="1298"/>
      <c r="L1304" s="1299"/>
      <c r="M1304" s="750">
        <f t="shared" si="48"/>
        <v>0</v>
      </c>
    </row>
    <row r="1305" spans="1:13" hidden="1" x14ac:dyDescent="0.25">
      <c r="A1305" s="751" t="s">
        <v>554</v>
      </c>
      <c r="B1305" s="751"/>
      <c r="C1305" s="745" t="s">
        <v>1096</v>
      </c>
      <c r="D1305" s="888">
        <f t="shared" si="47"/>
        <v>0</v>
      </c>
      <c r="E1305" s="1297"/>
      <c r="F1305" s="1298"/>
      <c r="G1305" s="1298"/>
      <c r="H1305" s="1298"/>
      <c r="I1305" s="1298"/>
      <c r="J1305" s="1298"/>
      <c r="K1305" s="1298"/>
      <c r="L1305" s="1299"/>
      <c r="M1305" s="750">
        <f t="shared" si="48"/>
        <v>0</v>
      </c>
    </row>
    <row r="1306" spans="1:13" hidden="1" x14ac:dyDescent="0.25">
      <c r="A1306" s="751" t="s">
        <v>555</v>
      </c>
      <c r="B1306" s="751"/>
      <c r="C1306" s="745" t="s">
        <v>1097</v>
      </c>
      <c r="D1306" s="888">
        <f t="shared" si="47"/>
        <v>0</v>
      </c>
      <c r="E1306" s="1297"/>
      <c r="F1306" s="1298"/>
      <c r="G1306" s="1298"/>
      <c r="H1306" s="1298"/>
      <c r="I1306" s="1298"/>
      <c r="J1306" s="1298"/>
      <c r="K1306" s="1298"/>
      <c r="L1306" s="1299"/>
      <c r="M1306" s="750">
        <f t="shared" si="48"/>
        <v>0</v>
      </c>
    </row>
    <row r="1307" spans="1:13" hidden="1" x14ac:dyDescent="0.25">
      <c r="A1307" s="751" t="s">
        <v>556</v>
      </c>
      <c r="B1307" s="751"/>
      <c r="C1307" s="745" t="s">
        <v>1098</v>
      </c>
      <c r="D1307" s="888">
        <f t="shared" si="47"/>
        <v>0</v>
      </c>
      <c r="E1307" s="1297"/>
      <c r="F1307" s="1298"/>
      <c r="G1307" s="1298"/>
      <c r="H1307" s="1298"/>
      <c r="I1307" s="1298"/>
      <c r="J1307" s="1298"/>
      <c r="K1307" s="1298"/>
      <c r="L1307" s="1299"/>
      <c r="M1307" s="750">
        <f t="shared" si="48"/>
        <v>0</v>
      </c>
    </row>
    <row r="1308" spans="1:13" hidden="1" x14ac:dyDescent="0.25">
      <c r="A1308" s="751" t="s">
        <v>557</v>
      </c>
      <c r="B1308" s="751"/>
      <c r="C1308" s="745" t="s">
        <v>1099</v>
      </c>
      <c r="D1308" s="888">
        <f t="shared" si="47"/>
        <v>0</v>
      </c>
      <c r="E1308" s="1297"/>
      <c r="F1308" s="1298"/>
      <c r="G1308" s="1298"/>
      <c r="H1308" s="1298"/>
      <c r="I1308" s="1298"/>
      <c r="J1308" s="1298"/>
      <c r="K1308" s="1298"/>
      <c r="L1308" s="1299"/>
      <c r="M1308" s="750">
        <f t="shared" si="48"/>
        <v>0</v>
      </c>
    </row>
    <row r="1309" spans="1:13" hidden="1" x14ac:dyDescent="0.25">
      <c r="A1309" s="751" t="s">
        <v>558</v>
      </c>
      <c r="B1309" s="751"/>
      <c r="C1309" s="745" t="s">
        <v>1100</v>
      </c>
      <c r="D1309" s="888">
        <f t="shared" si="47"/>
        <v>0</v>
      </c>
      <c r="E1309" s="1297"/>
      <c r="F1309" s="1298"/>
      <c r="G1309" s="1298"/>
      <c r="H1309" s="1298"/>
      <c r="I1309" s="1298"/>
      <c r="J1309" s="1298"/>
      <c r="K1309" s="1298"/>
      <c r="L1309" s="1299"/>
      <c r="M1309" s="750">
        <f t="shared" si="48"/>
        <v>0</v>
      </c>
    </row>
    <row r="1310" spans="1:13" hidden="1" x14ac:dyDescent="0.25">
      <c r="A1310" s="751" t="s">
        <v>559</v>
      </c>
      <c r="B1310" s="751"/>
      <c r="C1310" s="745" t="s">
        <v>1101</v>
      </c>
      <c r="D1310" s="888">
        <f t="shared" si="47"/>
        <v>0</v>
      </c>
      <c r="E1310" s="1297"/>
      <c r="F1310" s="1298"/>
      <c r="G1310" s="1298"/>
      <c r="H1310" s="1298"/>
      <c r="I1310" s="1298"/>
      <c r="J1310" s="1298"/>
      <c r="K1310" s="1298"/>
      <c r="L1310" s="1299"/>
      <c r="M1310" s="750">
        <f t="shared" si="48"/>
        <v>0</v>
      </c>
    </row>
    <row r="1311" spans="1:13" hidden="1" x14ac:dyDescent="0.25">
      <c r="A1311" s="751" t="s">
        <v>560</v>
      </c>
      <c r="B1311" s="751"/>
      <c r="C1311" s="745" t="s">
        <v>1102</v>
      </c>
      <c r="D1311" s="888">
        <f t="shared" si="47"/>
        <v>0</v>
      </c>
      <c r="E1311" s="1297"/>
      <c r="F1311" s="1298"/>
      <c r="G1311" s="1298"/>
      <c r="H1311" s="1298"/>
      <c r="I1311" s="1298"/>
      <c r="J1311" s="1298"/>
      <c r="K1311" s="1298"/>
      <c r="L1311" s="1299"/>
      <c r="M1311" s="750">
        <f t="shared" si="48"/>
        <v>0</v>
      </c>
    </row>
    <row r="1312" spans="1:13" hidden="1" x14ac:dyDescent="0.25">
      <c r="A1312" s="751" t="s">
        <v>561</v>
      </c>
      <c r="B1312" s="751"/>
      <c r="C1312" s="745" t="s">
        <v>1103</v>
      </c>
      <c r="D1312" s="888">
        <f t="shared" si="47"/>
        <v>0</v>
      </c>
      <c r="E1312" s="1297"/>
      <c r="F1312" s="1298"/>
      <c r="G1312" s="1298"/>
      <c r="H1312" s="1298"/>
      <c r="I1312" s="1298"/>
      <c r="J1312" s="1298"/>
      <c r="K1312" s="1298"/>
      <c r="L1312" s="1299"/>
      <c r="M1312" s="750">
        <f t="shared" si="48"/>
        <v>0</v>
      </c>
    </row>
    <row r="1313" spans="1:13" hidden="1" x14ac:dyDescent="0.25">
      <c r="A1313" s="751" t="s">
        <v>562</v>
      </c>
      <c r="B1313" s="751"/>
      <c r="C1313" s="745" t="s">
        <v>1104</v>
      </c>
      <c r="D1313" s="888">
        <f t="shared" si="47"/>
        <v>0</v>
      </c>
      <c r="E1313" s="1297"/>
      <c r="F1313" s="1298"/>
      <c r="G1313" s="1298"/>
      <c r="H1313" s="1298"/>
      <c r="I1313" s="1298"/>
      <c r="J1313" s="1298"/>
      <c r="K1313" s="1298"/>
      <c r="L1313" s="1299"/>
      <c r="M1313" s="750">
        <f t="shared" si="48"/>
        <v>0</v>
      </c>
    </row>
    <row r="1314" spans="1:13" hidden="1" x14ac:dyDescent="0.25">
      <c r="A1314" s="751" t="s">
        <v>563</v>
      </c>
      <c r="B1314" s="751"/>
      <c r="C1314" s="745" t="s">
        <v>1105</v>
      </c>
      <c r="D1314" s="888">
        <f t="shared" si="47"/>
        <v>0</v>
      </c>
      <c r="E1314" s="1297"/>
      <c r="F1314" s="1298"/>
      <c r="G1314" s="1298"/>
      <c r="H1314" s="1298"/>
      <c r="I1314" s="1298"/>
      <c r="J1314" s="1298"/>
      <c r="K1314" s="1298"/>
      <c r="L1314" s="1299"/>
      <c r="M1314" s="750">
        <f t="shared" si="48"/>
        <v>0</v>
      </c>
    </row>
    <row r="1315" spans="1:13" hidden="1" x14ac:dyDescent="0.25">
      <c r="A1315" s="751" t="s">
        <v>564</v>
      </c>
      <c r="B1315" s="751"/>
      <c r="C1315" s="745" t="s">
        <v>1106</v>
      </c>
      <c r="D1315" s="888">
        <f t="shared" si="47"/>
        <v>0</v>
      </c>
      <c r="E1315" s="1297"/>
      <c r="F1315" s="1298"/>
      <c r="G1315" s="1298"/>
      <c r="H1315" s="1298"/>
      <c r="I1315" s="1298"/>
      <c r="J1315" s="1298"/>
      <c r="K1315" s="1298"/>
      <c r="L1315" s="1299"/>
      <c r="M1315" s="750">
        <f t="shared" si="48"/>
        <v>0</v>
      </c>
    </row>
    <row r="1316" spans="1:13" hidden="1" x14ac:dyDescent="0.25">
      <c r="A1316" s="751" t="s">
        <v>565</v>
      </c>
      <c r="B1316" s="751"/>
      <c r="C1316" s="745" t="s">
        <v>1107</v>
      </c>
      <c r="D1316" s="888">
        <f t="shared" si="47"/>
        <v>0</v>
      </c>
      <c r="E1316" s="1297"/>
      <c r="F1316" s="1298"/>
      <c r="G1316" s="1298"/>
      <c r="H1316" s="1298"/>
      <c r="I1316" s="1298"/>
      <c r="J1316" s="1298"/>
      <c r="K1316" s="1298"/>
      <c r="L1316" s="1299"/>
      <c r="M1316" s="750">
        <f t="shared" si="48"/>
        <v>0</v>
      </c>
    </row>
    <row r="1317" spans="1:13" hidden="1" x14ac:dyDescent="0.25">
      <c r="A1317" s="751" t="s">
        <v>566</v>
      </c>
      <c r="B1317" s="751"/>
      <c r="C1317" s="745" t="s">
        <v>1108</v>
      </c>
      <c r="D1317" s="888">
        <f t="shared" si="47"/>
        <v>0</v>
      </c>
      <c r="E1317" s="1297"/>
      <c r="F1317" s="1298"/>
      <c r="G1317" s="1298"/>
      <c r="H1317" s="1298"/>
      <c r="I1317" s="1298"/>
      <c r="J1317" s="1298"/>
      <c r="K1317" s="1298"/>
      <c r="L1317" s="1299"/>
      <c r="M1317" s="750">
        <f t="shared" si="48"/>
        <v>0</v>
      </c>
    </row>
    <row r="1318" spans="1:13" hidden="1" x14ac:dyDescent="0.25">
      <c r="A1318" s="751" t="s">
        <v>567</v>
      </c>
      <c r="B1318" s="751"/>
      <c r="C1318" s="745" t="s">
        <v>1109</v>
      </c>
      <c r="D1318" s="888">
        <f t="shared" si="47"/>
        <v>0</v>
      </c>
      <c r="E1318" s="1297"/>
      <c r="F1318" s="1298"/>
      <c r="G1318" s="1298"/>
      <c r="H1318" s="1298"/>
      <c r="I1318" s="1298"/>
      <c r="J1318" s="1298"/>
      <c r="K1318" s="1298"/>
      <c r="L1318" s="1299"/>
      <c r="M1318" s="750">
        <f t="shared" si="48"/>
        <v>0</v>
      </c>
    </row>
    <row r="1319" spans="1:13" hidden="1" x14ac:dyDescent="0.25">
      <c r="A1319" s="751" t="s">
        <v>780</v>
      </c>
      <c r="B1319" s="751"/>
      <c r="C1319" s="745" t="s">
        <v>1110</v>
      </c>
      <c r="D1319" s="888">
        <f t="shared" si="47"/>
        <v>0</v>
      </c>
      <c r="E1319" s="1297"/>
      <c r="F1319" s="1298"/>
      <c r="G1319" s="1298"/>
      <c r="H1319" s="1298"/>
      <c r="I1319" s="1298"/>
      <c r="J1319" s="1298"/>
      <c r="K1319" s="1298"/>
      <c r="L1319" s="1299"/>
      <c r="M1319" s="750">
        <f t="shared" si="48"/>
        <v>0</v>
      </c>
    </row>
    <row r="1320" spans="1:13" hidden="1" x14ac:dyDescent="0.25">
      <c r="A1320" s="751" t="s">
        <v>781</v>
      </c>
      <c r="B1320" s="751"/>
      <c r="C1320" s="745" t="s">
        <v>1111</v>
      </c>
      <c r="D1320" s="888">
        <f t="shared" si="47"/>
        <v>0</v>
      </c>
      <c r="E1320" s="1297"/>
      <c r="F1320" s="1298"/>
      <c r="G1320" s="1298"/>
      <c r="H1320" s="1298"/>
      <c r="I1320" s="1298"/>
      <c r="J1320" s="1298"/>
      <c r="K1320" s="1298"/>
      <c r="L1320" s="1299"/>
      <c r="M1320" s="750">
        <f t="shared" si="48"/>
        <v>0</v>
      </c>
    </row>
    <row r="1321" spans="1:13" hidden="1" x14ac:dyDescent="0.25">
      <c r="A1321" s="751" t="s">
        <v>782</v>
      </c>
      <c r="B1321" s="751"/>
      <c r="C1321" s="745" t="s">
        <v>1112</v>
      </c>
      <c r="D1321" s="888">
        <f t="shared" si="47"/>
        <v>0</v>
      </c>
      <c r="E1321" s="1297"/>
      <c r="F1321" s="1298"/>
      <c r="G1321" s="1298"/>
      <c r="H1321" s="1298"/>
      <c r="I1321" s="1298"/>
      <c r="J1321" s="1298"/>
      <c r="K1321" s="1298"/>
      <c r="L1321" s="1299"/>
      <c r="M1321" s="750">
        <f t="shared" si="48"/>
        <v>0</v>
      </c>
    </row>
    <row r="1322" spans="1:13" hidden="1" x14ac:dyDescent="0.25">
      <c r="A1322" s="751" t="s">
        <v>783</v>
      </c>
      <c r="B1322" s="751"/>
      <c r="C1322" s="745" t="s">
        <v>1113</v>
      </c>
      <c r="D1322" s="888">
        <f t="shared" si="47"/>
        <v>0</v>
      </c>
      <c r="E1322" s="1297"/>
      <c r="F1322" s="1298"/>
      <c r="G1322" s="1298"/>
      <c r="H1322" s="1298"/>
      <c r="I1322" s="1298"/>
      <c r="J1322" s="1298"/>
      <c r="K1322" s="1298"/>
      <c r="L1322" s="1299"/>
      <c r="M1322" s="750">
        <f t="shared" si="48"/>
        <v>0</v>
      </c>
    </row>
    <row r="1323" spans="1:13" hidden="1" x14ac:dyDescent="0.25">
      <c r="A1323" s="751" t="s">
        <v>784</v>
      </c>
      <c r="B1323" s="751"/>
      <c r="C1323" s="745" t="s">
        <v>1114</v>
      </c>
      <c r="D1323" s="888">
        <f t="shared" si="47"/>
        <v>0</v>
      </c>
      <c r="E1323" s="1297"/>
      <c r="F1323" s="1298"/>
      <c r="G1323" s="1298"/>
      <c r="H1323" s="1298"/>
      <c r="I1323" s="1298"/>
      <c r="J1323" s="1298"/>
      <c r="K1323" s="1298"/>
      <c r="L1323" s="1299"/>
      <c r="M1323" s="750">
        <f t="shared" si="48"/>
        <v>0</v>
      </c>
    </row>
    <row r="1324" spans="1:13" hidden="1" x14ac:dyDescent="0.25">
      <c r="A1324" s="751" t="s">
        <v>785</v>
      </c>
      <c r="B1324" s="751"/>
      <c r="C1324" s="745" t="s">
        <v>1115</v>
      </c>
      <c r="D1324" s="888">
        <f t="shared" si="47"/>
        <v>0</v>
      </c>
      <c r="E1324" s="1297"/>
      <c r="F1324" s="1298"/>
      <c r="G1324" s="1298"/>
      <c r="H1324" s="1298"/>
      <c r="I1324" s="1298"/>
      <c r="J1324" s="1298"/>
      <c r="K1324" s="1298"/>
      <c r="L1324" s="1299"/>
      <c r="M1324" s="750">
        <f t="shared" si="48"/>
        <v>0</v>
      </c>
    </row>
    <row r="1325" spans="1:13" x14ac:dyDescent="0.25">
      <c r="A1325" s="751" t="s">
        <v>910</v>
      </c>
      <c r="B1325" s="751"/>
      <c r="C1325" s="745" t="s">
        <v>1116</v>
      </c>
      <c r="D1325" s="888">
        <f t="shared" si="47"/>
        <v>300000</v>
      </c>
      <c r="E1325" s="1297">
        <v>300000</v>
      </c>
      <c r="F1325" s="1298"/>
      <c r="G1325" s="1298"/>
      <c r="H1325" s="1298"/>
      <c r="I1325" s="1298"/>
      <c r="J1325" s="1298"/>
      <c r="K1325" s="1298"/>
      <c r="L1325" s="1299"/>
      <c r="M1325" s="750">
        <f t="shared" si="48"/>
        <v>600000</v>
      </c>
    </row>
    <row r="1326" spans="1:13" hidden="1" x14ac:dyDescent="0.25">
      <c r="A1326" s="751" t="s">
        <v>911</v>
      </c>
      <c r="B1326" s="751"/>
      <c r="C1326" s="745" t="s">
        <v>1117</v>
      </c>
      <c r="D1326" s="888">
        <f t="shared" si="47"/>
        <v>0</v>
      </c>
      <c r="E1326" s="1297"/>
      <c r="F1326" s="1298"/>
      <c r="G1326" s="1298"/>
      <c r="H1326" s="1298"/>
      <c r="I1326" s="1298"/>
      <c r="J1326" s="1298"/>
      <c r="K1326" s="1298"/>
      <c r="L1326" s="1299"/>
      <c r="M1326" s="750">
        <f t="shared" si="48"/>
        <v>0</v>
      </c>
    </row>
    <row r="1327" spans="1:13" hidden="1" x14ac:dyDescent="0.25">
      <c r="A1327" s="751" t="s">
        <v>1118</v>
      </c>
      <c r="B1327" s="751"/>
      <c r="C1327" s="745" t="s">
        <v>1119</v>
      </c>
      <c r="D1327" s="888">
        <f t="shared" si="47"/>
        <v>0</v>
      </c>
      <c r="E1327" s="1297"/>
      <c r="F1327" s="1298"/>
      <c r="G1327" s="1298"/>
      <c r="H1327" s="1298"/>
      <c r="I1327" s="1298"/>
      <c r="J1327" s="1298"/>
      <c r="K1327" s="1298"/>
      <c r="L1327" s="1299"/>
      <c r="M1327" s="750">
        <f t="shared" si="48"/>
        <v>0</v>
      </c>
    </row>
    <row r="1328" spans="1:13" hidden="1" x14ac:dyDescent="0.25">
      <c r="A1328" s="751" t="s">
        <v>1120</v>
      </c>
      <c r="B1328" s="751"/>
      <c r="C1328" s="745" t="s">
        <v>1121</v>
      </c>
      <c r="D1328" s="888">
        <f t="shared" si="47"/>
        <v>0</v>
      </c>
      <c r="E1328" s="1297"/>
      <c r="F1328" s="1298"/>
      <c r="G1328" s="1298"/>
      <c r="H1328" s="1298"/>
      <c r="I1328" s="1298"/>
      <c r="J1328" s="1298"/>
      <c r="K1328" s="1298"/>
      <c r="L1328" s="1299"/>
      <c r="M1328" s="750">
        <f t="shared" si="48"/>
        <v>0</v>
      </c>
    </row>
    <row r="1329" spans="1:13" hidden="1" x14ac:dyDescent="0.25">
      <c r="A1329" s="751" t="s">
        <v>1122</v>
      </c>
      <c r="B1329" s="751"/>
      <c r="C1329" s="745" t="s">
        <v>1123</v>
      </c>
      <c r="D1329" s="888">
        <f t="shared" si="47"/>
        <v>0</v>
      </c>
      <c r="E1329" s="1297"/>
      <c r="F1329" s="1298"/>
      <c r="G1329" s="1298"/>
      <c r="H1329" s="1298"/>
      <c r="I1329" s="1298"/>
      <c r="J1329" s="1298"/>
      <c r="K1329" s="1298"/>
      <c r="L1329" s="1299"/>
      <c r="M1329" s="750">
        <f t="shared" si="48"/>
        <v>0</v>
      </c>
    </row>
    <row r="1330" spans="1:13" hidden="1" x14ac:dyDescent="0.25">
      <c r="A1330" s="751" t="s">
        <v>1124</v>
      </c>
      <c r="B1330" s="751"/>
      <c r="C1330" s="745" t="s">
        <v>1125</v>
      </c>
      <c r="D1330" s="888">
        <f t="shared" si="47"/>
        <v>0</v>
      </c>
      <c r="E1330" s="1297"/>
      <c r="F1330" s="1298"/>
      <c r="G1330" s="1298"/>
      <c r="H1330" s="1298"/>
      <c r="I1330" s="1298"/>
      <c r="J1330" s="1298"/>
      <c r="K1330" s="1298"/>
      <c r="L1330" s="1299"/>
      <c r="M1330" s="750">
        <f t="shared" si="48"/>
        <v>0</v>
      </c>
    </row>
    <row r="1331" spans="1:13" hidden="1" x14ac:dyDescent="0.25">
      <c r="A1331" s="751" t="s">
        <v>1126</v>
      </c>
      <c r="B1331" s="751"/>
      <c r="C1331" s="745" t="s">
        <v>1127</v>
      </c>
      <c r="D1331" s="888">
        <f t="shared" si="47"/>
        <v>0</v>
      </c>
      <c r="E1331" s="1297"/>
      <c r="F1331" s="1298"/>
      <c r="G1331" s="1298"/>
      <c r="H1331" s="1298"/>
      <c r="I1331" s="1298"/>
      <c r="J1331" s="1298"/>
      <c r="K1331" s="1298"/>
      <c r="L1331" s="1299"/>
      <c r="M1331" s="750">
        <f t="shared" si="48"/>
        <v>0</v>
      </c>
    </row>
    <row r="1332" spans="1:13" hidden="1" x14ac:dyDescent="0.25">
      <c r="A1332" s="751" t="s">
        <v>1128</v>
      </c>
      <c r="B1332" s="751"/>
      <c r="C1332" s="745" t="s">
        <v>1129</v>
      </c>
      <c r="D1332" s="888">
        <f t="shared" si="47"/>
        <v>0</v>
      </c>
      <c r="E1332" s="1297"/>
      <c r="F1332" s="1298"/>
      <c r="G1332" s="1298"/>
      <c r="H1332" s="1298"/>
      <c r="I1332" s="1298"/>
      <c r="J1332" s="1298"/>
      <c r="K1332" s="1298"/>
      <c r="L1332" s="1299"/>
      <c r="M1332" s="750">
        <f t="shared" si="48"/>
        <v>0</v>
      </c>
    </row>
    <row r="1333" spans="1:13" hidden="1" x14ac:dyDescent="0.25">
      <c r="A1333" s="751" t="s">
        <v>1130</v>
      </c>
      <c r="B1333" s="751"/>
      <c r="C1333" s="745" t="s">
        <v>1131</v>
      </c>
      <c r="D1333" s="888">
        <f t="shared" si="47"/>
        <v>0</v>
      </c>
      <c r="E1333" s="1297"/>
      <c r="F1333" s="1298"/>
      <c r="G1333" s="1298"/>
      <c r="H1333" s="1298"/>
      <c r="I1333" s="1298"/>
      <c r="J1333" s="1298"/>
      <c r="K1333" s="1298"/>
      <c r="L1333" s="1299"/>
      <c r="M1333" s="750">
        <f t="shared" si="48"/>
        <v>0</v>
      </c>
    </row>
    <row r="1334" spans="1:13" hidden="1" x14ac:dyDescent="0.25">
      <c r="A1334" s="751" t="s">
        <v>1132</v>
      </c>
      <c r="B1334" s="751"/>
      <c r="C1334" s="745" t="s">
        <v>1133</v>
      </c>
      <c r="D1334" s="888">
        <f t="shared" si="47"/>
        <v>0</v>
      </c>
      <c r="E1334" s="1297"/>
      <c r="F1334" s="1298"/>
      <c r="G1334" s="1298"/>
      <c r="H1334" s="1298"/>
      <c r="I1334" s="1298"/>
      <c r="J1334" s="1298"/>
      <c r="K1334" s="1298"/>
      <c r="L1334" s="1299"/>
      <c r="M1334" s="750">
        <f t="shared" si="48"/>
        <v>0</v>
      </c>
    </row>
    <row r="1335" spans="1:13" hidden="1" x14ac:dyDescent="0.25">
      <c r="A1335" s="751" t="s">
        <v>1134</v>
      </c>
      <c r="B1335" s="751"/>
      <c r="C1335" s="745" t="s">
        <v>1135</v>
      </c>
      <c r="D1335" s="888">
        <f t="shared" si="47"/>
        <v>0</v>
      </c>
      <c r="E1335" s="1297"/>
      <c r="F1335" s="1298"/>
      <c r="G1335" s="1298"/>
      <c r="H1335" s="1298"/>
      <c r="I1335" s="1298"/>
      <c r="J1335" s="1298"/>
      <c r="K1335" s="1298"/>
      <c r="L1335" s="1299"/>
      <c r="M1335" s="750">
        <f t="shared" si="48"/>
        <v>0</v>
      </c>
    </row>
    <row r="1336" spans="1:13" x14ac:dyDescent="0.25">
      <c r="A1336" s="751" t="s">
        <v>1136</v>
      </c>
      <c r="B1336" s="751"/>
      <c r="C1336" s="745" t="s">
        <v>1137</v>
      </c>
      <c r="D1336" s="888">
        <f t="shared" si="47"/>
        <v>200000</v>
      </c>
      <c r="E1336" s="1297">
        <v>200000</v>
      </c>
      <c r="F1336" s="1298"/>
      <c r="G1336" s="1298"/>
      <c r="H1336" s="1298"/>
      <c r="I1336" s="1298"/>
      <c r="J1336" s="1298"/>
      <c r="K1336" s="1298"/>
      <c r="L1336" s="1299"/>
      <c r="M1336" s="750">
        <f t="shared" si="48"/>
        <v>400000</v>
      </c>
    </row>
    <row r="1337" spans="1:13" hidden="1" x14ac:dyDescent="0.25">
      <c r="A1337" s="751" t="s">
        <v>1138</v>
      </c>
      <c r="B1337" s="751"/>
      <c r="C1337" s="745" t="s">
        <v>1139</v>
      </c>
      <c r="D1337" s="888">
        <f t="shared" si="47"/>
        <v>0</v>
      </c>
      <c r="E1337" s="1297"/>
      <c r="F1337" s="1298"/>
      <c r="G1337" s="1298"/>
      <c r="H1337" s="1298"/>
      <c r="I1337" s="1298"/>
      <c r="J1337" s="1298"/>
      <c r="K1337" s="1298"/>
      <c r="L1337" s="1299"/>
      <c r="M1337" s="750">
        <f t="shared" si="48"/>
        <v>0</v>
      </c>
    </row>
    <row r="1338" spans="1:13" hidden="1" x14ac:dyDescent="0.25">
      <c r="A1338" s="751" t="s">
        <v>1140</v>
      </c>
      <c r="B1338" s="751"/>
      <c r="C1338" s="745" t="s">
        <v>1141</v>
      </c>
      <c r="D1338" s="888">
        <f t="shared" si="47"/>
        <v>0</v>
      </c>
      <c r="E1338" s="1297"/>
      <c r="F1338" s="1298"/>
      <c r="G1338" s="1298"/>
      <c r="H1338" s="1298"/>
      <c r="I1338" s="1298"/>
      <c r="J1338" s="1298"/>
      <c r="K1338" s="1298"/>
      <c r="L1338" s="1299"/>
      <c r="M1338" s="750">
        <f t="shared" si="48"/>
        <v>0</v>
      </c>
    </row>
    <row r="1339" spans="1:13" hidden="1" x14ac:dyDescent="0.25">
      <c r="A1339" s="751" t="s">
        <v>1142</v>
      </c>
      <c r="B1339" s="751"/>
      <c r="C1339" s="745" t="s">
        <v>1143</v>
      </c>
      <c r="D1339" s="888">
        <f t="shared" si="47"/>
        <v>0</v>
      </c>
      <c r="E1339" s="1297"/>
      <c r="F1339" s="1298"/>
      <c r="G1339" s="1298"/>
      <c r="H1339" s="1298"/>
      <c r="I1339" s="1298"/>
      <c r="J1339" s="1298"/>
      <c r="K1339" s="1298"/>
      <c r="L1339" s="1299"/>
      <c r="M1339" s="750">
        <f t="shared" si="48"/>
        <v>0</v>
      </c>
    </row>
    <row r="1340" spans="1:13" hidden="1" x14ac:dyDescent="0.25">
      <c r="A1340" s="751" t="s">
        <v>1144</v>
      </c>
      <c r="B1340" s="751"/>
      <c r="C1340" s="745" t="s">
        <v>1145</v>
      </c>
      <c r="D1340" s="888">
        <f t="shared" si="47"/>
        <v>0</v>
      </c>
      <c r="E1340" s="1297"/>
      <c r="F1340" s="1298"/>
      <c r="G1340" s="1298"/>
      <c r="H1340" s="1298"/>
      <c r="I1340" s="1298"/>
      <c r="J1340" s="1298"/>
      <c r="K1340" s="1298"/>
      <c r="L1340" s="1299"/>
      <c r="M1340" s="750">
        <f t="shared" si="48"/>
        <v>0</v>
      </c>
    </row>
    <row r="1341" spans="1:13" hidden="1" x14ac:dyDescent="0.25">
      <c r="A1341" s="751" t="s">
        <v>1146</v>
      </c>
      <c r="B1341" s="751"/>
      <c r="C1341" s="745" t="s">
        <v>1147</v>
      </c>
      <c r="D1341" s="888">
        <f t="shared" si="47"/>
        <v>0</v>
      </c>
      <c r="E1341" s="1297"/>
      <c r="F1341" s="1298"/>
      <c r="G1341" s="1298"/>
      <c r="H1341" s="1298"/>
      <c r="I1341" s="1298"/>
      <c r="J1341" s="1298"/>
      <c r="K1341" s="1298"/>
      <c r="L1341" s="1299"/>
      <c r="M1341" s="750">
        <f t="shared" si="48"/>
        <v>0</v>
      </c>
    </row>
    <row r="1342" spans="1:13" hidden="1" x14ac:dyDescent="0.25">
      <c r="A1342" s="751" t="s">
        <v>1148</v>
      </c>
      <c r="B1342" s="751"/>
      <c r="C1342" s="745" t="s">
        <v>1149</v>
      </c>
      <c r="D1342" s="888">
        <f>E1342</f>
        <v>0</v>
      </c>
      <c r="E1342" s="1297"/>
      <c r="F1342" s="1298"/>
      <c r="G1342" s="1298"/>
      <c r="H1342" s="1298"/>
      <c r="I1342" s="1298"/>
      <c r="J1342" s="1298"/>
      <c r="K1342" s="1298"/>
      <c r="L1342" s="1299"/>
      <c r="M1342" s="750">
        <f t="shared" si="48"/>
        <v>0</v>
      </c>
    </row>
    <row r="1343" spans="1:13" ht="18.75" hidden="1" x14ac:dyDescent="0.25">
      <c r="A1343" s="788"/>
      <c r="B1343" s="788"/>
      <c r="C1343" s="759" t="s">
        <v>168</v>
      </c>
      <c r="D1343" s="888">
        <f>E1343</f>
        <v>0</v>
      </c>
      <c r="E1343" s="1297"/>
      <c r="F1343" s="1298"/>
      <c r="G1343" s="1293"/>
      <c r="H1343" s="1293"/>
      <c r="I1343" s="1293"/>
      <c r="J1343" s="1293"/>
      <c r="K1343" s="1293"/>
      <c r="L1343" s="1294"/>
      <c r="M1343" s="750">
        <f t="shared" si="48"/>
        <v>0</v>
      </c>
    </row>
    <row r="1344" spans="1:13" ht="131.25" x14ac:dyDescent="0.25">
      <c r="A1344" s="1183" t="s">
        <v>887</v>
      </c>
      <c r="B1344" s="1187">
        <v>9540</v>
      </c>
      <c r="C1344" s="1123" t="s">
        <v>667</v>
      </c>
      <c r="D1344" s="1089">
        <f>SUM(D1348:D1414)</f>
        <v>5000000</v>
      </c>
      <c r="E1344" s="929"/>
      <c r="F1344" s="966"/>
      <c r="G1344" s="966"/>
      <c r="H1344" s="966"/>
      <c r="I1344" s="966"/>
      <c r="J1344" s="966"/>
      <c r="K1344" s="966"/>
      <c r="L1344" s="930"/>
      <c r="M1344" s="750">
        <f t="shared" si="48"/>
        <v>5000000</v>
      </c>
    </row>
    <row r="1345" spans="1:13" ht="18.75" x14ac:dyDescent="0.25">
      <c r="A1345" s="772"/>
      <c r="B1345" s="1124"/>
      <c r="C1345" s="1124"/>
      <c r="D1345" s="1099"/>
      <c r="E1345" s="931"/>
      <c r="F1345" s="1125"/>
      <c r="G1345" s="1125"/>
      <c r="H1345" s="1125"/>
      <c r="I1345" s="1125"/>
      <c r="J1345" s="1125"/>
      <c r="K1345" s="1125"/>
      <c r="L1345" s="932"/>
      <c r="M1345" s="750">
        <v>1</v>
      </c>
    </row>
    <row r="1346" spans="1:13" ht="18.75" x14ac:dyDescent="0.25">
      <c r="A1346" s="772"/>
      <c r="B1346" s="1124"/>
      <c r="C1346" s="1124"/>
      <c r="D1346" s="1099"/>
      <c r="E1346" s="931"/>
      <c r="F1346" s="1125"/>
      <c r="G1346" s="1125"/>
      <c r="H1346" s="1125"/>
      <c r="I1346" s="1125"/>
      <c r="J1346" s="1125"/>
      <c r="K1346" s="1125"/>
      <c r="L1346" s="932"/>
      <c r="M1346" s="750">
        <v>1</v>
      </c>
    </row>
    <row r="1347" spans="1:13" ht="18.75" x14ac:dyDescent="0.25">
      <c r="A1347" s="773"/>
      <c r="B1347" s="1126"/>
      <c r="C1347" s="1126"/>
      <c r="D1347" s="1098"/>
      <c r="E1347" s="931"/>
      <c r="F1347" s="1125"/>
      <c r="G1347" s="1125"/>
      <c r="H1347" s="1125"/>
      <c r="I1347" s="1125"/>
      <c r="J1347" s="1125"/>
      <c r="K1347" s="1125"/>
      <c r="L1347" s="932"/>
      <c r="M1347" s="750">
        <v>1</v>
      </c>
    </row>
    <row r="1348" spans="1:13" hidden="1" x14ac:dyDescent="0.25">
      <c r="A1348" s="751" t="s">
        <v>526</v>
      </c>
      <c r="B1348" s="751"/>
      <c r="C1348" s="745" t="s">
        <v>1060</v>
      </c>
      <c r="D1348" s="914"/>
      <c r="E1348" s="1730"/>
      <c r="F1348" s="1731"/>
      <c r="G1348" s="1731"/>
      <c r="H1348" s="1731"/>
      <c r="I1348" s="1175"/>
      <c r="J1348" s="1175"/>
      <c r="K1348" s="1175"/>
      <c r="L1348" s="1180"/>
      <c r="M1348" s="750">
        <f t="shared" si="48"/>
        <v>0</v>
      </c>
    </row>
    <row r="1349" spans="1:13" hidden="1" x14ac:dyDescent="0.25">
      <c r="A1349" s="751" t="s">
        <v>527</v>
      </c>
      <c r="B1349" s="751"/>
      <c r="C1349" s="745" t="s">
        <v>1069</v>
      </c>
      <c r="D1349" s="619"/>
      <c r="E1349" s="1730"/>
      <c r="F1349" s="1731"/>
      <c r="G1349" s="1731"/>
      <c r="H1349" s="1731"/>
      <c r="I1349" s="1175"/>
      <c r="J1349" s="1175"/>
      <c r="K1349" s="1175"/>
      <c r="L1349" s="1180"/>
      <c r="M1349" s="750">
        <f t="shared" si="48"/>
        <v>0</v>
      </c>
    </row>
    <row r="1350" spans="1:13" hidden="1" x14ac:dyDescent="0.25">
      <c r="A1350" s="751" t="s">
        <v>528</v>
      </c>
      <c r="B1350" s="751"/>
      <c r="C1350" s="745" t="s">
        <v>1070</v>
      </c>
      <c r="D1350" s="762"/>
      <c r="E1350" s="1730"/>
      <c r="F1350" s="1731"/>
      <c r="G1350" s="1731"/>
      <c r="H1350" s="1731"/>
      <c r="I1350" s="1175"/>
      <c r="J1350" s="1175"/>
      <c r="K1350" s="1175"/>
      <c r="L1350" s="1180"/>
      <c r="M1350" s="750">
        <f t="shared" si="48"/>
        <v>0</v>
      </c>
    </row>
    <row r="1351" spans="1:13" hidden="1" x14ac:dyDescent="0.25">
      <c r="A1351" s="751" t="s">
        <v>529</v>
      </c>
      <c r="B1351" s="751"/>
      <c r="C1351" s="745" t="s">
        <v>1071</v>
      </c>
      <c r="D1351" s="619"/>
      <c r="E1351" s="1730"/>
      <c r="F1351" s="1731"/>
      <c r="G1351" s="1731"/>
      <c r="H1351" s="1731"/>
      <c r="I1351" s="1175"/>
      <c r="J1351" s="1175"/>
      <c r="K1351" s="1175"/>
      <c r="L1351" s="1180"/>
      <c r="M1351" s="750">
        <f t="shared" si="48"/>
        <v>0</v>
      </c>
    </row>
    <row r="1352" spans="1:13" hidden="1" x14ac:dyDescent="0.25">
      <c r="A1352" s="751" t="s">
        <v>530</v>
      </c>
      <c r="B1352" s="751"/>
      <c r="C1352" s="745" t="s">
        <v>1072</v>
      </c>
      <c r="D1352" s="914"/>
      <c r="E1352" s="1730"/>
      <c r="F1352" s="1731"/>
      <c r="G1352" s="1731"/>
      <c r="H1352" s="1731"/>
      <c r="I1352" s="1175"/>
      <c r="J1352" s="1175"/>
      <c r="K1352" s="1175"/>
      <c r="L1352" s="1180"/>
      <c r="M1352" s="750">
        <f t="shared" si="48"/>
        <v>0</v>
      </c>
    </row>
    <row r="1353" spans="1:13" hidden="1" x14ac:dyDescent="0.25">
      <c r="A1353" s="751" t="s">
        <v>531</v>
      </c>
      <c r="B1353" s="751"/>
      <c r="C1353" s="745" t="s">
        <v>1073</v>
      </c>
      <c r="D1353" s="914"/>
      <c r="E1353" s="1730"/>
      <c r="F1353" s="1731"/>
      <c r="G1353" s="1731"/>
      <c r="H1353" s="1731"/>
      <c r="I1353" s="1175"/>
      <c r="J1353" s="1175"/>
      <c r="K1353" s="1175"/>
      <c r="L1353" s="1180"/>
      <c r="M1353" s="750">
        <f t="shared" si="48"/>
        <v>0</v>
      </c>
    </row>
    <row r="1354" spans="1:13" hidden="1" x14ac:dyDescent="0.25">
      <c r="A1354" s="751" t="s">
        <v>532</v>
      </c>
      <c r="B1354" s="751"/>
      <c r="C1354" s="745" t="s">
        <v>1074</v>
      </c>
      <c r="D1354" s="914"/>
      <c r="E1354" s="1730"/>
      <c r="F1354" s="1731"/>
      <c r="G1354" s="1731"/>
      <c r="H1354" s="1731"/>
      <c r="I1354" s="1175"/>
      <c r="J1354" s="1175"/>
      <c r="K1354" s="1175"/>
      <c r="L1354" s="1180"/>
      <c r="M1354" s="750">
        <f t="shared" si="48"/>
        <v>0</v>
      </c>
    </row>
    <row r="1355" spans="1:13" hidden="1" x14ac:dyDescent="0.25">
      <c r="A1355" s="751" t="s">
        <v>533</v>
      </c>
      <c r="B1355" s="751"/>
      <c r="C1355" s="745" t="s">
        <v>1075</v>
      </c>
      <c r="D1355" s="914"/>
      <c r="E1355" s="1730"/>
      <c r="F1355" s="1731"/>
      <c r="G1355" s="1731"/>
      <c r="H1355" s="1731"/>
      <c r="I1355" s="1175"/>
      <c r="J1355" s="1175"/>
      <c r="K1355" s="1175"/>
      <c r="L1355" s="1180"/>
      <c r="M1355" s="750">
        <f t="shared" si="48"/>
        <v>0</v>
      </c>
    </row>
    <row r="1356" spans="1:13" hidden="1" x14ac:dyDescent="0.25">
      <c r="A1356" s="751" t="s">
        <v>534</v>
      </c>
      <c r="B1356" s="751"/>
      <c r="C1356" s="745" t="s">
        <v>1076</v>
      </c>
      <c r="D1356" s="762"/>
      <c r="E1356" s="1730"/>
      <c r="F1356" s="1731"/>
      <c r="G1356" s="1731"/>
      <c r="H1356" s="1731"/>
      <c r="I1356" s="1175"/>
      <c r="J1356" s="1175"/>
      <c r="K1356" s="1175"/>
      <c r="L1356" s="1180"/>
      <c r="M1356" s="750">
        <f t="shared" si="48"/>
        <v>0</v>
      </c>
    </row>
    <row r="1357" spans="1:13" hidden="1" x14ac:dyDescent="0.25">
      <c r="A1357" s="751" t="s">
        <v>535</v>
      </c>
      <c r="B1357" s="751"/>
      <c r="C1357" s="745" t="s">
        <v>1077</v>
      </c>
      <c r="D1357" s="762"/>
      <c r="E1357" s="1730"/>
      <c r="F1357" s="1731"/>
      <c r="G1357" s="1731"/>
      <c r="H1357" s="1731"/>
      <c r="I1357" s="1175"/>
      <c r="J1357" s="1175"/>
      <c r="K1357" s="1175"/>
      <c r="L1357" s="1180"/>
      <c r="M1357" s="750">
        <f t="shared" si="48"/>
        <v>0</v>
      </c>
    </row>
    <row r="1358" spans="1:13" hidden="1" x14ac:dyDescent="0.25">
      <c r="A1358" s="751" t="s">
        <v>536</v>
      </c>
      <c r="B1358" s="751"/>
      <c r="C1358" s="745" t="s">
        <v>1078</v>
      </c>
      <c r="D1358" s="914"/>
      <c r="E1358" s="1730"/>
      <c r="F1358" s="1731"/>
      <c r="G1358" s="1731"/>
      <c r="H1358" s="1731"/>
      <c r="I1358" s="1175"/>
      <c r="J1358" s="1175"/>
      <c r="K1358" s="1175"/>
      <c r="L1358" s="1180"/>
      <c r="M1358" s="750">
        <f t="shared" si="48"/>
        <v>0</v>
      </c>
    </row>
    <row r="1359" spans="1:13" hidden="1" x14ac:dyDescent="0.25">
      <c r="A1359" s="751" t="s">
        <v>537</v>
      </c>
      <c r="B1359" s="751"/>
      <c r="C1359" s="745" t="s">
        <v>1079</v>
      </c>
      <c r="D1359" s="619"/>
      <c r="E1359" s="1730"/>
      <c r="F1359" s="1731"/>
      <c r="G1359" s="1731"/>
      <c r="H1359" s="1731"/>
      <c r="I1359" s="1175"/>
      <c r="J1359" s="1175"/>
      <c r="K1359" s="1175"/>
      <c r="L1359" s="1180"/>
      <c r="M1359" s="750">
        <f t="shared" si="48"/>
        <v>0</v>
      </c>
    </row>
    <row r="1360" spans="1:13" hidden="1" x14ac:dyDescent="0.25">
      <c r="A1360" s="751" t="s">
        <v>538</v>
      </c>
      <c r="B1360" s="751"/>
      <c r="C1360" s="745" t="s">
        <v>1080</v>
      </c>
      <c r="D1360" s="914"/>
      <c r="E1360" s="1730"/>
      <c r="F1360" s="1731"/>
      <c r="G1360" s="1731"/>
      <c r="H1360" s="1731"/>
      <c r="I1360" s="1175"/>
      <c r="J1360" s="1175"/>
      <c r="K1360" s="1175"/>
      <c r="L1360" s="1180"/>
      <c r="M1360" s="750">
        <f t="shared" si="48"/>
        <v>0</v>
      </c>
    </row>
    <row r="1361" spans="1:13" hidden="1" x14ac:dyDescent="0.25">
      <c r="A1361" s="751" t="s">
        <v>539</v>
      </c>
      <c r="B1361" s="751"/>
      <c r="C1361" s="745" t="s">
        <v>1081</v>
      </c>
      <c r="D1361" s="762"/>
      <c r="E1361" s="1730"/>
      <c r="F1361" s="1731"/>
      <c r="G1361" s="1731"/>
      <c r="H1361" s="1731"/>
      <c r="I1361" s="1175"/>
      <c r="J1361" s="1175"/>
      <c r="K1361" s="1175"/>
      <c r="L1361" s="1180"/>
      <c r="M1361" s="750">
        <f t="shared" si="48"/>
        <v>0</v>
      </c>
    </row>
    <row r="1362" spans="1:13" hidden="1" x14ac:dyDescent="0.25">
      <c r="A1362" s="751" t="s">
        <v>540</v>
      </c>
      <c r="B1362" s="751"/>
      <c r="C1362" s="745" t="s">
        <v>1082</v>
      </c>
      <c r="D1362" s="914"/>
      <c r="E1362" s="1730"/>
      <c r="F1362" s="1731"/>
      <c r="G1362" s="1731"/>
      <c r="H1362" s="1731"/>
      <c r="I1362" s="1175"/>
      <c r="J1362" s="1175"/>
      <c r="K1362" s="1175"/>
      <c r="L1362" s="1180"/>
      <c r="M1362" s="750">
        <f t="shared" si="48"/>
        <v>0</v>
      </c>
    </row>
    <row r="1363" spans="1:13" hidden="1" x14ac:dyDescent="0.25">
      <c r="A1363" s="751" t="s">
        <v>541</v>
      </c>
      <c r="B1363" s="751"/>
      <c r="C1363" s="745" t="s">
        <v>1083</v>
      </c>
      <c r="D1363" s="762"/>
      <c r="E1363" s="1730"/>
      <c r="F1363" s="1731"/>
      <c r="G1363" s="1731"/>
      <c r="H1363" s="1731"/>
      <c r="I1363" s="1175"/>
      <c r="J1363" s="1175"/>
      <c r="K1363" s="1175"/>
      <c r="L1363" s="1180"/>
      <c r="M1363" s="750">
        <f t="shared" si="48"/>
        <v>0</v>
      </c>
    </row>
    <row r="1364" spans="1:13" hidden="1" x14ac:dyDescent="0.25">
      <c r="A1364" s="751" t="s">
        <v>542</v>
      </c>
      <c r="B1364" s="751"/>
      <c r="C1364" s="745" t="s">
        <v>1084</v>
      </c>
      <c r="D1364" s="914"/>
      <c r="E1364" s="1730"/>
      <c r="F1364" s="1731"/>
      <c r="G1364" s="1731"/>
      <c r="H1364" s="1731"/>
      <c r="I1364" s="1175"/>
      <c r="J1364" s="1175"/>
      <c r="K1364" s="1175"/>
      <c r="L1364" s="1180"/>
      <c r="M1364" s="750">
        <f t="shared" si="48"/>
        <v>0</v>
      </c>
    </row>
    <row r="1365" spans="1:13" hidden="1" x14ac:dyDescent="0.25">
      <c r="A1365" s="751" t="s">
        <v>543</v>
      </c>
      <c r="B1365" s="751"/>
      <c r="C1365" s="745" t="s">
        <v>1085</v>
      </c>
      <c r="D1365" s="619"/>
      <c r="E1365" s="1730"/>
      <c r="F1365" s="1731"/>
      <c r="G1365" s="1731"/>
      <c r="H1365" s="1731"/>
      <c r="I1365" s="1175"/>
      <c r="J1365" s="1175"/>
      <c r="K1365" s="1175"/>
      <c r="L1365" s="1180"/>
      <c r="M1365" s="750">
        <f t="shared" si="48"/>
        <v>0</v>
      </c>
    </row>
    <row r="1366" spans="1:13" hidden="1" x14ac:dyDescent="0.25">
      <c r="A1366" s="751" t="s">
        <v>544</v>
      </c>
      <c r="B1366" s="751"/>
      <c r="C1366" s="745" t="s">
        <v>1086</v>
      </c>
      <c r="D1366" s="914"/>
      <c r="E1366" s="1730"/>
      <c r="F1366" s="1731"/>
      <c r="G1366" s="1731"/>
      <c r="H1366" s="1731"/>
      <c r="I1366" s="1175"/>
      <c r="J1366" s="1175"/>
      <c r="K1366" s="1175"/>
      <c r="L1366" s="1180"/>
      <c r="M1366" s="750">
        <f t="shared" ref="M1366:M1429" si="49">SUM(D1366:H1366)</f>
        <v>0</v>
      </c>
    </row>
    <row r="1367" spans="1:13" hidden="1" x14ac:dyDescent="0.25">
      <c r="A1367" s="751" t="s">
        <v>545</v>
      </c>
      <c r="B1367" s="751"/>
      <c r="C1367" s="745" t="s">
        <v>1087</v>
      </c>
      <c r="D1367" s="914"/>
      <c r="E1367" s="1730"/>
      <c r="F1367" s="1731"/>
      <c r="G1367" s="1731"/>
      <c r="H1367" s="1731"/>
      <c r="I1367" s="1175"/>
      <c r="J1367" s="1175"/>
      <c r="K1367" s="1175"/>
      <c r="L1367" s="1180"/>
      <c r="M1367" s="750">
        <f t="shared" si="49"/>
        <v>0</v>
      </c>
    </row>
    <row r="1368" spans="1:13" hidden="1" x14ac:dyDescent="0.25">
      <c r="A1368" s="751" t="s">
        <v>546</v>
      </c>
      <c r="B1368" s="751"/>
      <c r="C1368" s="745" t="s">
        <v>1088</v>
      </c>
      <c r="D1368" s="619"/>
      <c r="E1368" s="1730"/>
      <c r="F1368" s="1731"/>
      <c r="G1368" s="1731"/>
      <c r="H1368" s="1731"/>
      <c r="I1368" s="1175"/>
      <c r="J1368" s="1175"/>
      <c r="K1368" s="1175"/>
      <c r="L1368" s="1180"/>
      <c r="M1368" s="750">
        <f t="shared" si="49"/>
        <v>0</v>
      </c>
    </row>
    <row r="1369" spans="1:13" hidden="1" x14ac:dyDescent="0.25">
      <c r="A1369" s="751" t="s">
        <v>547</v>
      </c>
      <c r="B1369" s="751"/>
      <c r="C1369" s="745" t="s">
        <v>1089</v>
      </c>
      <c r="D1369" s="619"/>
      <c r="E1369" s="1730"/>
      <c r="F1369" s="1731"/>
      <c r="G1369" s="1731"/>
      <c r="H1369" s="1731"/>
      <c r="I1369" s="1175"/>
      <c r="J1369" s="1175"/>
      <c r="K1369" s="1175"/>
      <c r="L1369" s="1180"/>
      <c r="M1369" s="750">
        <f t="shared" si="49"/>
        <v>0</v>
      </c>
    </row>
    <row r="1370" spans="1:13" hidden="1" x14ac:dyDescent="0.25">
      <c r="A1370" s="751" t="s">
        <v>548</v>
      </c>
      <c r="B1370" s="751"/>
      <c r="C1370" s="745" t="s">
        <v>1090</v>
      </c>
      <c r="D1370" s="914"/>
      <c r="E1370" s="1730"/>
      <c r="F1370" s="1731"/>
      <c r="G1370" s="1731"/>
      <c r="H1370" s="1731"/>
      <c r="I1370" s="1175"/>
      <c r="J1370" s="1175"/>
      <c r="K1370" s="1175"/>
      <c r="L1370" s="1180"/>
      <c r="M1370" s="750">
        <f t="shared" si="49"/>
        <v>0</v>
      </c>
    </row>
    <row r="1371" spans="1:13" hidden="1" x14ac:dyDescent="0.25">
      <c r="A1371" s="751" t="s">
        <v>549</v>
      </c>
      <c r="B1371" s="751"/>
      <c r="C1371" s="745" t="s">
        <v>1091</v>
      </c>
      <c r="D1371" s="914"/>
      <c r="E1371" s="1730"/>
      <c r="F1371" s="1731"/>
      <c r="G1371" s="1731"/>
      <c r="H1371" s="1731"/>
      <c r="I1371" s="1175"/>
      <c r="J1371" s="1175"/>
      <c r="K1371" s="1175"/>
      <c r="L1371" s="1180"/>
      <c r="M1371" s="750">
        <f t="shared" si="49"/>
        <v>0</v>
      </c>
    </row>
    <row r="1372" spans="1:13" hidden="1" x14ac:dyDescent="0.25">
      <c r="A1372" s="751" t="s">
        <v>550</v>
      </c>
      <c r="B1372" s="751"/>
      <c r="C1372" s="745" t="s">
        <v>1092</v>
      </c>
      <c r="D1372" s="762"/>
      <c r="E1372" s="1730"/>
      <c r="F1372" s="1731"/>
      <c r="G1372" s="1731"/>
      <c r="H1372" s="1731"/>
      <c r="I1372" s="1175"/>
      <c r="J1372" s="1175"/>
      <c r="K1372" s="1175"/>
      <c r="L1372" s="1180"/>
      <c r="M1372" s="750">
        <f t="shared" si="49"/>
        <v>0</v>
      </c>
    </row>
    <row r="1373" spans="1:13" hidden="1" x14ac:dyDescent="0.25">
      <c r="A1373" s="751" t="s">
        <v>551</v>
      </c>
      <c r="B1373" s="751"/>
      <c r="C1373" s="745" t="s">
        <v>1093</v>
      </c>
      <c r="D1373" s="762"/>
      <c r="E1373" s="1730"/>
      <c r="F1373" s="1731"/>
      <c r="G1373" s="1731"/>
      <c r="H1373" s="1731"/>
      <c r="I1373" s="1175"/>
      <c r="J1373" s="1175"/>
      <c r="K1373" s="1175"/>
      <c r="L1373" s="1180"/>
      <c r="M1373" s="750">
        <f t="shared" si="49"/>
        <v>0</v>
      </c>
    </row>
    <row r="1374" spans="1:13" hidden="1" x14ac:dyDescent="0.25">
      <c r="A1374" s="751" t="s">
        <v>552</v>
      </c>
      <c r="B1374" s="751"/>
      <c r="C1374" s="745" t="s">
        <v>1094</v>
      </c>
      <c r="D1374" s="914"/>
      <c r="E1374" s="1730"/>
      <c r="F1374" s="1731"/>
      <c r="G1374" s="1731"/>
      <c r="H1374" s="1731"/>
      <c r="I1374" s="1175"/>
      <c r="J1374" s="1175"/>
      <c r="K1374" s="1175"/>
      <c r="L1374" s="1180"/>
      <c r="M1374" s="750">
        <f t="shared" si="49"/>
        <v>0</v>
      </c>
    </row>
    <row r="1375" spans="1:13" hidden="1" x14ac:dyDescent="0.25">
      <c r="A1375" s="751" t="s">
        <v>553</v>
      </c>
      <c r="B1375" s="751"/>
      <c r="C1375" s="745" t="s">
        <v>1095</v>
      </c>
      <c r="D1375" s="914"/>
      <c r="E1375" s="1730"/>
      <c r="F1375" s="1731"/>
      <c r="G1375" s="1731"/>
      <c r="H1375" s="1731"/>
      <c r="I1375" s="1175"/>
      <c r="J1375" s="1175"/>
      <c r="K1375" s="1175"/>
      <c r="L1375" s="1180"/>
      <c r="M1375" s="750">
        <f t="shared" si="49"/>
        <v>0</v>
      </c>
    </row>
    <row r="1376" spans="1:13" hidden="1" x14ac:dyDescent="0.25">
      <c r="A1376" s="751" t="s">
        <v>554</v>
      </c>
      <c r="B1376" s="751"/>
      <c r="C1376" s="745" t="s">
        <v>1096</v>
      </c>
      <c r="D1376" s="914"/>
      <c r="E1376" s="1730"/>
      <c r="F1376" s="1731"/>
      <c r="G1376" s="1731"/>
      <c r="H1376" s="1731"/>
      <c r="I1376" s="1175"/>
      <c r="J1376" s="1175"/>
      <c r="K1376" s="1175"/>
      <c r="L1376" s="1180"/>
      <c r="M1376" s="750">
        <f t="shared" si="49"/>
        <v>0</v>
      </c>
    </row>
    <row r="1377" spans="1:13" hidden="1" x14ac:dyDescent="0.25">
      <c r="A1377" s="751" t="s">
        <v>555</v>
      </c>
      <c r="B1377" s="751"/>
      <c r="C1377" s="745" t="s">
        <v>1097</v>
      </c>
      <c r="D1377" s="914"/>
      <c r="E1377" s="1730"/>
      <c r="F1377" s="1731"/>
      <c r="G1377" s="1731"/>
      <c r="H1377" s="1731"/>
      <c r="I1377" s="1175"/>
      <c r="J1377" s="1175"/>
      <c r="K1377" s="1175"/>
      <c r="L1377" s="1180"/>
      <c r="M1377" s="750">
        <f t="shared" si="49"/>
        <v>0</v>
      </c>
    </row>
    <row r="1378" spans="1:13" hidden="1" x14ac:dyDescent="0.25">
      <c r="A1378" s="751" t="s">
        <v>556</v>
      </c>
      <c r="B1378" s="751"/>
      <c r="C1378" s="745" t="s">
        <v>1098</v>
      </c>
      <c r="D1378" s="914"/>
      <c r="E1378" s="1730"/>
      <c r="F1378" s="1731"/>
      <c r="G1378" s="1731"/>
      <c r="H1378" s="1731"/>
      <c r="I1378" s="1175"/>
      <c r="J1378" s="1175"/>
      <c r="K1378" s="1175"/>
      <c r="L1378" s="1180"/>
      <c r="M1378" s="750">
        <f t="shared" si="49"/>
        <v>0</v>
      </c>
    </row>
    <row r="1379" spans="1:13" hidden="1" x14ac:dyDescent="0.25">
      <c r="A1379" s="751" t="s">
        <v>557</v>
      </c>
      <c r="B1379" s="751"/>
      <c r="C1379" s="745" t="s">
        <v>1099</v>
      </c>
      <c r="D1379" s="914"/>
      <c r="E1379" s="1730"/>
      <c r="F1379" s="1731"/>
      <c r="G1379" s="1731"/>
      <c r="H1379" s="1731"/>
      <c r="I1379" s="1175"/>
      <c r="J1379" s="1175"/>
      <c r="K1379" s="1175"/>
      <c r="L1379" s="1180"/>
      <c r="M1379" s="750">
        <f t="shared" si="49"/>
        <v>0</v>
      </c>
    </row>
    <row r="1380" spans="1:13" hidden="1" x14ac:dyDescent="0.25">
      <c r="A1380" s="751" t="s">
        <v>558</v>
      </c>
      <c r="B1380" s="751"/>
      <c r="C1380" s="745" t="s">
        <v>1100</v>
      </c>
      <c r="D1380" s="914"/>
      <c r="E1380" s="1730"/>
      <c r="F1380" s="1731"/>
      <c r="G1380" s="1731"/>
      <c r="H1380" s="1731"/>
      <c r="I1380" s="1175"/>
      <c r="J1380" s="1175"/>
      <c r="K1380" s="1175"/>
      <c r="L1380" s="1180"/>
      <c r="M1380" s="750">
        <f t="shared" si="49"/>
        <v>0</v>
      </c>
    </row>
    <row r="1381" spans="1:13" hidden="1" x14ac:dyDescent="0.25">
      <c r="A1381" s="751" t="s">
        <v>559</v>
      </c>
      <c r="B1381" s="751"/>
      <c r="C1381" s="745" t="s">
        <v>1101</v>
      </c>
      <c r="D1381" s="914"/>
      <c r="E1381" s="1730"/>
      <c r="F1381" s="1731"/>
      <c r="G1381" s="1731"/>
      <c r="H1381" s="1731"/>
      <c r="I1381" s="1175"/>
      <c r="J1381" s="1175"/>
      <c r="K1381" s="1175"/>
      <c r="L1381" s="1180"/>
      <c r="M1381" s="750">
        <f t="shared" si="49"/>
        <v>0</v>
      </c>
    </row>
    <row r="1382" spans="1:13" hidden="1" x14ac:dyDescent="0.25">
      <c r="A1382" s="751" t="s">
        <v>560</v>
      </c>
      <c r="B1382" s="751"/>
      <c r="C1382" s="745" t="s">
        <v>1102</v>
      </c>
      <c r="D1382" s="762"/>
      <c r="E1382" s="1730"/>
      <c r="F1382" s="1731"/>
      <c r="G1382" s="1731"/>
      <c r="H1382" s="1731"/>
      <c r="I1382" s="1175"/>
      <c r="J1382" s="1175"/>
      <c r="K1382" s="1175"/>
      <c r="L1382" s="1180"/>
      <c r="M1382" s="750">
        <f t="shared" si="49"/>
        <v>0</v>
      </c>
    </row>
    <row r="1383" spans="1:13" hidden="1" x14ac:dyDescent="0.25">
      <c r="A1383" s="751" t="s">
        <v>561</v>
      </c>
      <c r="B1383" s="751"/>
      <c r="C1383" s="745" t="s">
        <v>1103</v>
      </c>
      <c r="D1383" s="762"/>
      <c r="E1383" s="1730"/>
      <c r="F1383" s="1731"/>
      <c r="G1383" s="1731"/>
      <c r="H1383" s="1731"/>
      <c r="I1383" s="1175"/>
      <c r="J1383" s="1175"/>
      <c r="K1383" s="1175"/>
      <c r="L1383" s="1180"/>
      <c r="M1383" s="750">
        <f t="shared" si="49"/>
        <v>0</v>
      </c>
    </row>
    <row r="1384" spans="1:13" hidden="1" x14ac:dyDescent="0.25">
      <c r="A1384" s="751" t="s">
        <v>562</v>
      </c>
      <c r="B1384" s="751"/>
      <c r="C1384" s="745" t="s">
        <v>1104</v>
      </c>
      <c r="D1384" s="914"/>
      <c r="E1384" s="1730"/>
      <c r="F1384" s="1731"/>
      <c r="G1384" s="1731"/>
      <c r="H1384" s="1731"/>
      <c r="I1384" s="1175"/>
      <c r="J1384" s="1175"/>
      <c r="K1384" s="1175"/>
      <c r="L1384" s="1180"/>
      <c r="M1384" s="750">
        <f t="shared" si="49"/>
        <v>0</v>
      </c>
    </row>
    <row r="1385" spans="1:13" hidden="1" x14ac:dyDescent="0.25">
      <c r="A1385" s="751" t="s">
        <v>563</v>
      </c>
      <c r="B1385" s="751"/>
      <c r="C1385" s="745" t="s">
        <v>1105</v>
      </c>
      <c r="D1385" s="914"/>
      <c r="E1385" s="1730"/>
      <c r="F1385" s="1731"/>
      <c r="G1385" s="1731"/>
      <c r="H1385" s="1731"/>
      <c r="I1385" s="1175"/>
      <c r="J1385" s="1175"/>
      <c r="K1385" s="1175"/>
      <c r="L1385" s="1180"/>
      <c r="M1385" s="750">
        <f t="shared" si="49"/>
        <v>0</v>
      </c>
    </row>
    <row r="1386" spans="1:13" hidden="1" x14ac:dyDescent="0.25">
      <c r="A1386" s="751" t="s">
        <v>564</v>
      </c>
      <c r="B1386" s="751"/>
      <c r="C1386" s="745" t="s">
        <v>1106</v>
      </c>
      <c r="D1386" s="914"/>
      <c r="E1386" s="1730"/>
      <c r="F1386" s="1731"/>
      <c r="G1386" s="1731"/>
      <c r="H1386" s="1731"/>
      <c r="I1386" s="1175"/>
      <c r="J1386" s="1175"/>
      <c r="K1386" s="1175"/>
      <c r="L1386" s="1180"/>
      <c r="M1386" s="750">
        <f t="shared" si="49"/>
        <v>0</v>
      </c>
    </row>
    <row r="1387" spans="1:13" hidden="1" x14ac:dyDescent="0.25">
      <c r="A1387" s="751" t="s">
        <v>565</v>
      </c>
      <c r="B1387" s="751"/>
      <c r="C1387" s="745" t="s">
        <v>1107</v>
      </c>
      <c r="D1387" s="914"/>
      <c r="E1387" s="1730"/>
      <c r="F1387" s="1731"/>
      <c r="G1387" s="1731"/>
      <c r="H1387" s="1731"/>
      <c r="I1387" s="1175"/>
      <c r="J1387" s="1175"/>
      <c r="K1387" s="1175"/>
      <c r="L1387" s="1180"/>
      <c r="M1387" s="750">
        <f t="shared" si="49"/>
        <v>0</v>
      </c>
    </row>
    <row r="1388" spans="1:13" hidden="1" x14ac:dyDescent="0.25">
      <c r="A1388" s="751" t="s">
        <v>566</v>
      </c>
      <c r="B1388" s="751"/>
      <c r="C1388" s="745" t="s">
        <v>1108</v>
      </c>
      <c r="D1388" s="914"/>
      <c r="E1388" s="1730"/>
      <c r="F1388" s="1731"/>
      <c r="G1388" s="1731"/>
      <c r="H1388" s="1731"/>
      <c r="I1388" s="1175"/>
      <c r="J1388" s="1175"/>
      <c r="K1388" s="1175"/>
      <c r="L1388" s="1180"/>
      <c r="M1388" s="750">
        <f t="shared" si="49"/>
        <v>0</v>
      </c>
    </row>
    <row r="1389" spans="1:13" hidden="1" x14ac:dyDescent="0.25">
      <c r="A1389" s="751" t="s">
        <v>567</v>
      </c>
      <c r="B1389" s="751"/>
      <c r="C1389" s="745" t="s">
        <v>1109</v>
      </c>
      <c r="D1389" s="914"/>
      <c r="E1389" s="1730"/>
      <c r="F1389" s="1731"/>
      <c r="G1389" s="1731"/>
      <c r="H1389" s="1731"/>
      <c r="I1389" s="1175"/>
      <c r="J1389" s="1175"/>
      <c r="K1389" s="1175"/>
      <c r="L1389" s="1180"/>
      <c r="M1389" s="750">
        <f t="shared" si="49"/>
        <v>0</v>
      </c>
    </row>
    <row r="1390" spans="1:13" hidden="1" x14ac:dyDescent="0.25">
      <c r="A1390" s="751" t="s">
        <v>780</v>
      </c>
      <c r="B1390" s="751"/>
      <c r="C1390" s="745" t="s">
        <v>1110</v>
      </c>
      <c r="D1390" s="619"/>
      <c r="E1390" s="1730"/>
      <c r="F1390" s="1731"/>
      <c r="G1390" s="1731"/>
      <c r="H1390" s="1731"/>
      <c r="I1390" s="1175"/>
      <c r="J1390" s="1175"/>
      <c r="K1390" s="1175"/>
      <c r="L1390" s="1180"/>
      <c r="M1390" s="750">
        <f t="shared" si="49"/>
        <v>0</v>
      </c>
    </row>
    <row r="1391" spans="1:13" hidden="1" x14ac:dyDescent="0.25">
      <c r="A1391" s="751" t="s">
        <v>781</v>
      </c>
      <c r="B1391" s="751"/>
      <c r="C1391" s="745" t="s">
        <v>1111</v>
      </c>
      <c r="D1391" s="762"/>
      <c r="E1391" s="1730"/>
      <c r="F1391" s="1731"/>
      <c r="G1391" s="1731"/>
      <c r="H1391" s="1731"/>
      <c r="I1391" s="1175"/>
      <c r="J1391" s="1175"/>
      <c r="K1391" s="1175"/>
      <c r="L1391" s="1180"/>
      <c r="M1391" s="750">
        <f t="shared" si="49"/>
        <v>0</v>
      </c>
    </row>
    <row r="1392" spans="1:13" hidden="1" x14ac:dyDescent="0.25">
      <c r="A1392" s="751" t="s">
        <v>782</v>
      </c>
      <c r="B1392" s="751"/>
      <c r="C1392" s="745" t="s">
        <v>1112</v>
      </c>
      <c r="D1392" s="914"/>
      <c r="E1392" s="1730"/>
      <c r="F1392" s="1731"/>
      <c r="G1392" s="1731"/>
      <c r="H1392" s="1731"/>
      <c r="I1392" s="1175"/>
      <c r="J1392" s="1175"/>
      <c r="K1392" s="1175"/>
      <c r="L1392" s="1180"/>
      <c r="M1392" s="750">
        <f t="shared" si="49"/>
        <v>0</v>
      </c>
    </row>
    <row r="1393" spans="1:13" hidden="1" x14ac:dyDescent="0.25">
      <c r="A1393" s="751" t="s">
        <v>783</v>
      </c>
      <c r="B1393" s="751"/>
      <c r="C1393" s="745" t="s">
        <v>1113</v>
      </c>
      <c r="D1393" s="867"/>
      <c r="E1393" s="1730"/>
      <c r="F1393" s="1731"/>
      <c r="G1393" s="1731"/>
      <c r="H1393" s="1731"/>
      <c r="I1393" s="1175"/>
      <c r="J1393" s="1175"/>
      <c r="K1393" s="1175"/>
      <c r="L1393" s="1180"/>
      <c r="M1393" s="750">
        <f t="shared" si="49"/>
        <v>0</v>
      </c>
    </row>
    <row r="1394" spans="1:13" hidden="1" x14ac:dyDescent="0.25">
      <c r="A1394" s="751" t="s">
        <v>784</v>
      </c>
      <c r="B1394" s="751"/>
      <c r="C1394" s="745" t="s">
        <v>1114</v>
      </c>
      <c r="D1394" s="914"/>
      <c r="E1394" s="1730"/>
      <c r="F1394" s="1731"/>
      <c r="G1394" s="1731"/>
      <c r="H1394" s="1731"/>
      <c r="I1394" s="1175"/>
      <c r="J1394" s="1175"/>
      <c r="K1394" s="1175"/>
      <c r="L1394" s="1180"/>
      <c r="M1394" s="750">
        <f t="shared" si="49"/>
        <v>0</v>
      </c>
    </row>
    <row r="1395" spans="1:13" hidden="1" x14ac:dyDescent="0.25">
      <c r="A1395" s="751" t="s">
        <v>785</v>
      </c>
      <c r="B1395" s="751"/>
      <c r="C1395" s="745" t="s">
        <v>1115</v>
      </c>
      <c r="D1395" s="914"/>
      <c r="E1395" s="1730"/>
      <c r="F1395" s="1731"/>
      <c r="G1395" s="1731"/>
      <c r="H1395" s="1731"/>
      <c r="I1395" s="1175"/>
      <c r="J1395" s="1175"/>
      <c r="K1395" s="1175"/>
      <c r="L1395" s="1180"/>
      <c r="M1395" s="750">
        <f t="shared" si="49"/>
        <v>0</v>
      </c>
    </row>
    <row r="1396" spans="1:13" hidden="1" x14ac:dyDescent="0.25">
      <c r="A1396" s="751" t="s">
        <v>910</v>
      </c>
      <c r="B1396" s="751"/>
      <c r="C1396" s="745" t="s">
        <v>1116</v>
      </c>
      <c r="D1396" s="914"/>
      <c r="E1396" s="1730"/>
      <c r="F1396" s="1731"/>
      <c r="G1396" s="1731"/>
      <c r="H1396" s="1731"/>
      <c r="I1396" s="1175"/>
      <c r="J1396" s="1175"/>
      <c r="K1396" s="1175"/>
      <c r="L1396" s="1180"/>
      <c r="M1396" s="750">
        <f t="shared" si="49"/>
        <v>0</v>
      </c>
    </row>
    <row r="1397" spans="1:13" hidden="1" x14ac:dyDescent="0.25">
      <c r="A1397" s="751" t="s">
        <v>911</v>
      </c>
      <c r="B1397" s="751"/>
      <c r="C1397" s="745" t="s">
        <v>1117</v>
      </c>
      <c r="D1397" s="914"/>
      <c r="E1397" s="1730"/>
      <c r="F1397" s="1731"/>
      <c r="G1397" s="1731"/>
      <c r="H1397" s="1731"/>
      <c r="I1397" s="1175"/>
      <c r="J1397" s="1175"/>
      <c r="K1397" s="1175"/>
      <c r="L1397" s="1180"/>
      <c r="M1397" s="750">
        <f t="shared" si="49"/>
        <v>0</v>
      </c>
    </row>
    <row r="1398" spans="1:13" hidden="1" x14ac:dyDescent="0.25">
      <c r="A1398" s="751" t="s">
        <v>1118</v>
      </c>
      <c r="B1398" s="751"/>
      <c r="C1398" s="745" t="s">
        <v>1119</v>
      </c>
      <c r="D1398" s="867"/>
      <c r="E1398" s="1730"/>
      <c r="F1398" s="1731"/>
      <c r="G1398" s="1731"/>
      <c r="H1398" s="1731"/>
      <c r="I1398" s="1175"/>
      <c r="J1398" s="1175"/>
      <c r="K1398" s="1175"/>
      <c r="L1398" s="1180"/>
      <c r="M1398" s="750">
        <f t="shared" si="49"/>
        <v>0</v>
      </c>
    </row>
    <row r="1399" spans="1:13" hidden="1" x14ac:dyDescent="0.25">
      <c r="A1399" s="751" t="s">
        <v>1120</v>
      </c>
      <c r="B1399" s="751"/>
      <c r="C1399" s="745" t="s">
        <v>1121</v>
      </c>
      <c r="D1399" s="762"/>
      <c r="E1399" s="1730"/>
      <c r="F1399" s="1731"/>
      <c r="G1399" s="1731"/>
      <c r="H1399" s="1731"/>
      <c r="I1399" s="1175"/>
      <c r="J1399" s="1175"/>
      <c r="K1399" s="1175"/>
      <c r="L1399" s="1180"/>
      <c r="M1399" s="750">
        <f t="shared" si="49"/>
        <v>0</v>
      </c>
    </row>
    <row r="1400" spans="1:13" hidden="1" x14ac:dyDescent="0.25">
      <c r="A1400" s="751" t="s">
        <v>1122</v>
      </c>
      <c r="B1400" s="751"/>
      <c r="C1400" s="745" t="s">
        <v>1123</v>
      </c>
      <c r="D1400" s="762"/>
      <c r="E1400" s="1730"/>
      <c r="F1400" s="1731"/>
      <c r="G1400" s="1731"/>
      <c r="H1400" s="1731"/>
      <c r="I1400" s="1175"/>
      <c r="J1400" s="1175"/>
      <c r="K1400" s="1175"/>
      <c r="L1400" s="1180"/>
      <c r="M1400" s="750">
        <f t="shared" si="49"/>
        <v>0</v>
      </c>
    </row>
    <row r="1401" spans="1:13" hidden="1" x14ac:dyDescent="0.25">
      <c r="A1401" s="751" t="s">
        <v>1124</v>
      </c>
      <c r="B1401" s="751"/>
      <c r="C1401" s="745" t="s">
        <v>1125</v>
      </c>
      <c r="D1401" s="762"/>
      <c r="E1401" s="1730"/>
      <c r="F1401" s="1731"/>
      <c r="G1401" s="1731"/>
      <c r="H1401" s="1731"/>
      <c r="I1401" s="1175"/>
      <c r="J1401" s="1175"/>
      <c r="K1401" s="1175"/>
      <c r="L1401" s="1180"/>
      <c r="M1401" s="750">
        <f t="shared" si="49"/>
        <v>0</v>
      </c>
    </row>
    <row r="1402" spans="1:13" hidden="1" x14ac:dyDescent="0.25">
      <c r="A1402" s="751" t="s">
        <v>1126</v>
      </c>
      <c r="B1402" s="751"/>
      <c r="C1402" s="745" t="s">
        <v>1127</v>
      </c>
      <c r="D1402" s="914"/>
      <c r="E1402" s="1730"/>
      <c r="F1402" s="1731"/>
      <c r="G1402" s="1731"/>
      <c r="H1402" s="1731"/>
      <c r="I1402" s="1175"/>
      <c r="J1402" s="1175"/>
      <c r="K1402" s="1175"/>
      <c r="L1402" s="1180"/>
      <c r="M1402" s="750">
        <f t="shared" si="49"/>
        <v>0</v>
      </c>
    </row>
    <row r="1403" spans="1:13" x14ac:dyDescent="0.25">
      <c r="A1403" s="751" t="s">
        <v>1128</v>
      </c>
      <c r="B1403" s="751"/>
      <c r="C1403" s="745" t="s">
        <v>1129</v>
      </c>
      <c r="D1403" s="762">
        <v>5000000</v>
      </c>
      <c r="E1403" s="1304" t="s">
        <v>1838</v>
      </c>
      <c r="F1403" s="1305"/>
      <c r="G1403" s="1305"/>
      <c r="H1403" s="1305"/>
      <c r="I1403" s="1175"/>
      <c r="J1403" s="1175"/>
      <c r="K1403" s="1175"/>
      <c r="L1403" s="1180"/>
      <c r="M1403" s="750">
        <f t="shared" si="49"/>
        <v>5000000</v>
      </c>
    </row>
    <row r="1404" spans="1:13" hidden="1" x14ac:dyDescent="0.25">
      <c r="A1404" s="751" t="s">
        <v>1130</v>
      </c>
      <c r="B1404" s="751"/>
      <c r="C1404" s="745" t="s">
        <v>1131</v>
      </c>
      <c r="D1404" s="762"/>
      <c r="E1404" s="1730"/>
      <c r="F1404" s="1731"/>
      <c r="G1404" s="1731"/>
      <c r="H1404" s="1731"/>
      <c r="I1404" s="1175"/>
      <c r="J1404" s="1175"/>
      <c r="K1404" s="1175"/>
      <c r="L1404" s="1180"/>
      <c r="M1404" s="750">
        <f t="shared" si="49"/>
        <v>0</v>
      </c>
    </row>
    <row r="1405" spans="1:13" hidden="1" x14ac:dyDescent="0.25">
      <c r="A1405" s="751" t="s">
        <v>1132</v>
      </c>
      <c r="B1405" s="751"/>
      <c r="C1405" s="745" t="s">
        <v>1133</v>
      </c>
      <c r="D1405" s="762"/>
      <c r="E1405" s="1730"/>
      <c r="F1405" s="1731"/>
      <c r="G1405" s="1731"/>
      <c r="H1405" s="1731"/>
      <c r="I1405" s="1175"/>
      <c r="J1405" s="1175"/>
      <c r="K1405" s="1175"/>
      <c r="L1405" s="1180"/>
      <c r="M1405" s="750">
        <f t="shared" si="49"/>
        <v>0</v>
      </c>
    </row>
    <row r="1406" spans="1:13" hidden="1" x14ac:dyDescent="0.25">
      <c r="A1406" s="751" t="s">
        <v>1134</v>
      </c>
      <c r="B1406" s="751"/>
      <c r="C1406" s="745" t="s">
        <v>1135</v>
      </c>
      <c r="D1406" s="619"/>
      <c r="E1406" s="1730"/>
      <c r="F1406" s="1731"/>
      <c r="G1406" s="1731"/>
      <c r="H1406" s="1731"/>
      <c r="I1406" s="1175"/>
      <c r="J1406" s="1175"/>
      <c r="K1406" s="1175"/>
      <c r="L1406" s="1180"/>
      <c r="M1406" s="750">
        <f t="shared" si="49"/>
        <v>0</v>
      </c>
    </row>
    <row r="1407" spans="1:13" hidden="1" x14ac:dyDescent="0.25">
      <c r="A1407" s="751" t="s">
        <v>1136</v>
      </c>
      <c r="B1407" s="751"/>
      <c r="C1407" s="745" t="s">
        <v>1137</v>
      </c>
      <c r="D1407" s="914"/>
      <c r="E1407" s="1730"/>
      <c r="F1407" s="1731"/>
      <c r="G1407" s="1731"/>
      <c r="H1407" s="1731"/>
      <c r="I1407" s="1175"/>
      <c r="J1407" s="1175"/>
      <c r="K1407" s="1175"/>
      <c r="L1407" s="1180"/>
      <c r="M1407" s="750">
        <f t="shared" si="49"/>
        <v>0</v>
      </c>
    </row>
    <row r="1408" spans="1:13" hidden="1" x14ac:dyDescent="0.25">
      <c r="A1408" s="751" t="s">
        <v>1138</v>
      </c>
      <c r="B1408" s="751"/>
      <c r="C1408" s="745" t="s">
        <v>1139</v>
      </c>
      <c r="D1408" s="914"/>
      <c r="E1408" s="1730"/>
      <c r="F1408" s="1731"/>
      <c r="G1408" s="1731"/>
      <c r="H1408" s="1731"/>
      <c r="I1408" s="1175"/>
      <c r="J1408" s="1175"/>
      <c r="K1408" s="1175"/>
      <c r="L1408" s="1180"/>
      <c r="M1408" s="750">
        <f t="shared" si="49"/>
        <v>0</v>
      </c>
    </row>
    <row r="1409" spans="1:49" hidden="1" x14ac:dyDescent="0.25">
      <c r="A1409" s="751" t="s">
        <v>1140</v>
      </c>
      <c r="B1409" s="751"/>
      <c r="C1409" s="745" t="s">
        <v>1141</v>
      </c>
      <c r="D1409" s="914"/>
      <c r="E1409" s="1730"/>
      <c r="F1409" s="1731"/>
      <c r="G1409" s="1731"/>
      <c r="H1409" s="1731"/>
      <c r="I1409" s="1175"/>
      <c r="J1409" s="1175"/>
      <c r="K1409" s="1175"/>
      <c r="L1409" s="1180"/>
      <c r="M1409" s="750">
        <f t="shared" si="49"/>
        <v>0</v>
      </c>
    </row>
    <row r="1410" spans="1:49" hidden="1" x14ac:dyDescent="0.25">
      <c r="A1410" s="751" t="s">
        <v>1142</v>
      </c>
      <c r="B1410" s="751"/>
      <c r="C1410" s="745" t="s">
        <v>1143</v>
      </c>
      <c r="D1410" s="914"/>
      <c r="E1410" s="1730"/>
      <c r="F1410" s="1731"/>
      <c r="G1410" s="1731"/>
      <c r="H1410" s="1731"/>
      <c r="I1410" s="1175"/>
      <c r="J1410" s="1175"/>
      <c r="K1410" s="1175"/>
      <c r="L1410" s="1180"/>
      <c r="M1410" s="750">
        <f t="shared" si="49"/>
        <v>0</v>
      </c>
    </row>
    <row r="1411" spans="1:49" hidden="1" x14ac:dyDescent="0.25">
      <c r="A1411" s="751" t="s">
        <v>1144</v>
      </c>
      <c r="B1411" s="751"/>
      <c r="C1411" s="745" t="s">
        <v>1145</v>
      </c>
      <c r="D1411" s="914"/>
      <c r="E1411" s="1730"/>
      <c r="F1411" s="1731"/>
      <c r="G1411" s="1731"/>
      <c r="H1411" s="1731"/>
      <c r="I1411" s="1175"/>
      <c r="J1411" s="1175"/>
      <c r="K1411" s="1175"/>
      <c r="L1411" s="1180"/>
      <c r="M1411" s="750">
        <f t="shared" si="49"/>
        <v>0</v>
      </c>
    </row>
    <row r="1412" spans="1:49" hidden="1" x14ac:dyDescent="0.25">
      <c r="A1412" s="751" t="s">
        <v>1146</v>
      </c>
      <c r="B1412" s="751"/>
      <c r="C1412" s="745" t="s">
        <v>1147</v>
      </c>
      <c r="D1412" s="914"/>
      <c r="E1412" s="1730"/>
      <c r="F1412" s="1731"/>
      <c r="G1412" s="1731"/>
      <c r="H1412" s="1731"/>
      <c r="I1412" s="1175"/>
      <c r="J1412" s="1175"/>
      <c r="K1412" s="1175"/>
      <c r="L1412" s="1180"/>
      <c r="M1412" s="750">
        <f t="shared" si="49"/>
        <v>0</v>
      </c>
    </row>
    <row r="1413" spans="1:49" hidden="1" x14ac:dyDescent="0.25">
      <c r="A1413" s="751" t="s">
        <v>1148</v>
      </c>
      <c r="B1413" s="751"/>
      <c r="C1413" s="745" t="s">
        <v>1149</v>
      </c>
      <c r="D1413" s="619"/>
      <c r="E1413" s="1730"/>
      <c r="F1413" s="1731"/>
      <c r="G1413" s="1731"/>
      <c r="H1413" s="1731"/>
      <c r="I1413" s="1175"/>
      <c r="J1413" s="1175"/>
      <c r="K1413" s="1175"/>
      <c r="L1413" s="1180"/>
      <c r="M1413" s="750">
        <f t="shared" si="49"/>
        <v>0</v>
      </c>
    </row>
    <row r="1414" spans="1:49" hidden="1" x14ac:dyDescent="0.25">
      <c r="A1414" s="751"/>
      <c r="B1414" s="751"/>
      <c r="C1414" s="745" t="s">
        <v>168</v>
      </c>
      <c r="D1414" s="762"/>
      <c r="E1414" s="1736"/>
      <c r="F1414" s="1737"/>
      <c r="G1414" s="1737"/>
      <c r="H1414" s="1737"/>
      <c r="I1414" s="1176"/>
      <c r="J1414" s="1176"/>
      <c r="K1414" s="1176"/>
      <c r="L1414" s="1177"/>
      <c r="M1414" s="750">
        <f t="shared" si="49"/>
        <v>0</v>
      </c>
    </row>
    <row r="1415" spans="1:49" ht="31.5" x14ac:dyDescent="0.25">
      <c r="A1415" s="1741" t="s">
        <v>706</v>
      </c>
      <c r="B1415" s="1738">
        <v>9740</v>
      </c>
      <c r="C1415" s="1767" t="s">
        <v>692</v>
      </c>
      <c r="D1415" s="1089">
        <f>SUM(D1419:D1484)</f>
        <v>10079560</v>
      </c>
      <c r="E1415" s="1052" t="s">
        <v>84</v>
      </c>
      <c r="F1415" s="1048" t="s">
        <v>85</v>
      </c>
      <c r="G1415" s="929"/>
      <c r="H1415" s="966"/>
      <c r="I1415" s="966"/>
      <c r="J1415" s="966"/>
      <c r="K1415" s="966"/>
      <c r="L1415" s="930"/>
      <c r="M1415" s="750">
        <f t="shared" si="49"/>
        <v>10079560</v>
      </c>
    </row>
    <row r="1416" spans="1:49" ht="18.600000000000001" customHeight="1" x14ac:dyDescent="0.25">
      <c r="A1416" s="1742"/>
      <c r="B1416" s="1739"/>
      <c r="C1416" s="1768"/>
      <c r="D1416" s="1090"/>
      <c r="E1416" s="1818">
        <f>SUM(E1419:E1485)</f>
        <v>1946000</v>
      </c>
      <c r="F1416" s="1843">
        <f>SUM(F1419:F1485)</f>
        <v>8133560</v>
      </c>
      <c r="G1416" s="931"/>
      <c r="H1416" s="1125"/>
      <c r="I1416" s="1125"/>
      <c r="J1416" s="1125"/>
      <c r="K1416" s="1125"/>
      <c r="L1416" s="932"/>
      <c r="M1416" s="750">
        <f t="shared" si="49"/>
        <v>10079560</v>
      </c>
    </row>
    <row r="1417" spans="1:49" ht="18.600000000000001" customHeight="1" x14ac:dyDescent="0.25">
      <c r="A1417" s="1742"/>
      <c r="B1417" s="1739"/>
      <c r="C1417" s="1768"/>
      <c r="D1417" s="1090"/>
      <c r="E1417" s="1818"/>
      <c r="F1417" s="1843"/>
      <c r="G1417" s="931"/>
      <c r="H1417" s="1125"/>
      <c r="I1417" s="1125"/>
      <c r="J1417" s="1125"/>
      <c r="K1417" s="1125"/>
      <c r="L1417" s="932"/>
      <c r="M1417" s="750">
        <v>1</v>
      </c>
    </row>
    <row r="1418" spans="1:49" s="738" customFormat="1" ht="18.75" x14ac:dyDescent="0.2">
      <c r="A1418" s="1743"/>
      <c r="B1418" s="1740"/>
      <c r="C1418" s="1769"/>
      <c r="D1418" s="1091"/>
      <c r="E1418" s="1818"/>
      <c r="F1418" s="1843"/>
      <c r="G1418" s="931"/>
      <c r="H1418" s="1125"/>
      <c r="I1418" s="1125"/>
      <c r="J1418" s="1125"/>
      <c r="K1418" s="1125"/>
      <c r="L1418" s="932"/>
      <c r="M1418" s="750">
        <v>1</v>
      </c>
      <c r="N1418" s="450"/>
      <c r="Q1418" s="450"/>
      <c r="R1418" s="450"/>
      <c r="S1418" s="450"/>
      <c r="T1418" s="450"/>
      <c r="U1418" s="450"/>
      <c r="V1418" s="450"/>
      <c r="W1418" s="450"/>
      <c r="X1418" s="450"/>
      <c r="Y1418" s="450"/>
      <c r="Z1418" s="450"/>
      <c r="AA1418" s="450"/>
      <c r="AB1418" s="450"/>
      <c r="AC1418" s="450"/>
      <c r="AD1418" s="450"/>
      <c r="AE1418" s="450"/>
      <c r="AF1418" s="450"/>
      <c r="AG1418" s="450"/>
      <c r="AH1418" s="450"/>
      <c r="AI1418" s="450"/>
      <c r="AJ1418" s="450"/>
      <c r="AK1418" s="450"/>
      <c r="AL1418" s="450"/>
      <c r="AM1418" s="450"/>
      <c r="AN1418" s="450"/>
      <c r="AO1418" s="450"/>
      <c r="AP1418" s="450"/>
      <c r="AQ1418" s="450"/>
      <c r="AR1418" s="450"/>
      <c r="AS1418" s="450"/>
      <c r="AT1418" s="450"/>
      <c r="AU1418" s="450"/>
      <c r="AV1418" s="450"/>
      <c r="AW1418" s="450"/>
    </row>
    <row r="1419" spans="1:49" hidden="1" x14ac:dyDescent="0.25">
      <c r="A1419" s="751" t="s">
        <v>526</v>
      </c>
      <c r="B1419" s="751"/>
      <c r="C1419" s="745" t="s">
        <v>1060</v>
      </c>
      <c r="D1419" s="767">
        <f>SUM(E1419:H1419)</f>
        <v>0</v>
      </c>
      <c r="E1419" s="911"/>
      <c r="F1419" s="765"/>
      <c r="G1419" s="765"/>
      <c r="H1419" s="791"/>
      <c r="I1419" s="791"/>
      <c r="J1419" s="791"/>
      <c r="K1419" s="791"/>
      <c r="L1419" s="766"/>
      <c r="M1419" s="750">
        <f t="shared" si="49"/>
        <v>0</v>
      </c>
    </row>
    <row r="1420" spans="1:49" s="738" customFormat="1" ht="15.75" hidden="1" x14ac:dyDescent="0.25">
      <c r="A1420" s="751" t="s">
        <v>527</v>
      </c>
      <c r="B1420" s="751"/>
      <c r="C1420" s="745" t="s">
        <v>1069</v>
      </c>
      <c r="D1420" s="767">
        <f t="shared" ref="D1420:D1483" si="50">SUM(E1420:H1420)</f>
        <v>0</v>
      </c>
      <c r="E1420" s="911"/>
      <c r="F1420" s="911"/>
      <c r="G1420" s="765"/>
      <c r="H1420" s="791"/>
      <c r="I1420" s="791"/>
      <c r="J1420" s="791"/>
      <c r="K1420" s="791"/>
      <c r="L1420" s="766"/>
      <c r="M1420" s="750">
        <f t="shared" si="49"/>
        <v>0</v>
      </c>
      <c r="N1420" s="450"/>
      <c r="Q1420" s="450"/>
      <c r="R1420" s="450"/>
      <c r="S1420" s="450"/>
      <c r="T1420" s="450"/>
      <c r="U1420" s="450"/>
      <c r="V1420" s="450"/>
      <c r="W1420" s="450"/>
      <c r="X1420" s="450"/>
      <c r="Y1420" s="450"/>
      <c r="Z1420" s="450"/>
      <c r="AA1420" s="450"/>
      <c r="AB1420" s="450"/>
      <c r="AC1420" s="450"/>
      <c r="AD1420" s="450"/>
      <c r="AE1420" s="450"/>
      <c r="AF1420" s="450"/>
      <c r="AG1420" s="450"/>
      <c r="AH1420" s="450"/>
      <c r="AI1420" s="450"/>
      <c r="AJ1420" s="450"/>
      <c r="AK1420" s="450"/>
      <c r="AL1420" s="450"/>
      <c r="AM1420" s="450"/>
      <c r="AN1420" s="450"/>
      <c r="AO1420" s="450"/>
      <c r="AP1420" s="450"/>
      <c r="AQ1420" s="450"/>
      <c r="AR1420" s="450"/>
      <c r="AS1420" s="450"/>
      <c r="AT1420" s="450"/>
      <c r="AU1420" s="450"/>
      <c r="AV1420" s="450"/>
      <c r="AW1420" s="450"/>
    </row>
    <row r="1421" spans="1:49" hidden="1" x14ac:dyDescent="0.25">
      <c r="A1421" s="751" t="s">
        <v>528</v>
      </c>
      <c r="B1421" s="751"/>
      <c r="C1421" s="745" t="s">
        <v>1070</v>
      </c>
      <c r="D1421" s="767">
        <f t="shared" si="50"/>
        <v>0</v>
      </c>
      <c r="E1421" s="911"/>
      <c r="F1421" s="911"/>
      <c r="G1421" s="765"/>
      <c r="H1421" s="791"/>
      <c r="I1421" s="791"/>
      <c r="J1421" s="791"/>
      <c r="K1421" s="791"/>
      <c r="L1421" s="766"/>
      <c r="M1421" s="750">
        <f t="shared" si="49"/>
        <v>0</v>
      </c>
    </row>
    <row r="1422" spans="1:49" s="301" customFormat="1" ht="15.75" hidden="1" x14ac:dyDescent="0.25">
      <c r="A1422" s="751" t="s">
        <v>529</v>
      </c>
      <c r="B1422" s="751"/>
      <c r="C1422" s="745" t="s">
        <v>1071</v>
      </c>
      <c r="D1422" s="767">
        <f t="shared" si="50"/>
        <v>0</v>
      </c>
      <c r="E1422" s="911"/>
      <c r="F1422" s="911"/>
      <c r="G1422" s="765"/>
      <c r="H1422" s="791"/>
      <c r="I1422" s="791"/>
      <c r="J1422" s="791"/>
      <c r="K1422" s="791"/>
      <c r="L1422" s="766"/>
      <c r="M1422" s="750">
        <f t="shared" si="49"/>
        <v>0</v>
      </c>
    </row>
    <row r="1423" spans="1:49" s="17" customFormat="1" ht="15.75" x14ac:dyDescent="0.25">
      <c r="A1423" s="751" t="s">
        <v>530</v>
      </c>
      <c r="B1423" s="751"/>
      <c r="C1423" s="745" t="s">
        <v>1072</v>
      </c>
      <c r="D1423" s="1100">
        <f t="shared" si="50"/>
        <v>506000</v>
      </c>
      <c r="E1423" s="1116">
        <v>506000</v>
      </c>
      <c r="F1423" s="311"/>
      <c r="G1423" s="765"/>
      <c r="H1423" s="791"/>
      <c r="I1423" s="791"/>
      <c r="J1423" s="791"/>
      <c r="K1423" s="791"/>
      <c r="L1423" s="766"/>
      <c r="M1423" s="750">
        <f t="shared" si="49"/>
        <v>1012000</v>
      </c>
    </row>
    <row r="1424" spans="1:49" hidden="1" x14ac:dyDescent="0.25">
      <c r="A1424" s="751" t="s">
        <v>531</v>
      </c>
      <c r="B1424" s="751"/>
      <c r="C1424" s="745" t="s">
        <v>1073</v>
      </c>
      <c r="D1424" s="767">
        <f t="shared" si="50"/>
        <v>0</v>
      </c>
      <c r="E1424" s="1100"/>
      <c r="F1424" s="911"/>
      <c r="G1424" s="765"/>
      <c r="H1424" s="791"/>
      <c r="I1424" s="791"/>
      <c r="J1424" s="791"/>
      <c r="K1424" s="791"/>
      <c r="L1424" s="766"/>
      <c r="M1424" s="750">
        <f t="shared" si="49"/>
        <v>0</v>
      </c>
    </row>
    <row r="1425" spans="1:13" hidden="1" x14ac:dyDescent="0.25">
      <c r="A1425" s="751" t="s">
        <v>532</v>
      </c>
      <c r="B1425" s="751"/>
      <c r="C1425" s="745" t="s">
        <v>1074</v>
      </c>
      <c r="D1425" s="767">
        <f t="shared" si="50"/>
        <v>0</v>
      </c>
      <c r="E1425" s="1100"/>
      <c r="F1425" s="911"/>
      <c r="G1425" s="765"/>
      <c r="H1425" s="791"/>
      <c r="I1425" s="791"/>
      <c r="J1425" s="791"/>
      <c r="K1425" s="791"/>
      <c r="L1425" s="766"/>
      <c r="M1425" s="750">
        <f t="shared" si="49"/>
        <v>0</v>
      </c>
    </row>
    <row r="1426" spans="1:13" hidden="1" x14ac:dyDescent="0.25">
      <c r="A1426" s="751" t="s">
        <v>533</v>
      </c>
      <c r="B1426" s="751"/>
      <c r="C1426" s="745" t="s">
        <v>1075</v>
      </c>
      <c r="D1426" s="767">
        <f t="shared" si="50"/>
        <v>0</v>
      </c>
      <c r="E1426" s="1100"/>
      <c r="F1426" s="911"/>
      <c r="G1426" s="765"/>
      <c r="H1426" s="791"/>
      <c r="I1426" s="791"/>
      <c r="J1426" s="791"/>
      <c r="K1426" s="791"/>
      <c r="L1426" s="766"/>
      <c r="M1426" s="750">
        <f t="shared" si="49"/>
        <v>0</v>
      </c>
    </row>
    <row r="1427" spans="1:13" hidden="1" x14ac:dyDescent="0.25">
      <c r="A1427" s="751" t="s">
        <v>534</v>
      </c>
      <c r="B1427" s="751"/>
      <c r="C1427" s="745" t="s">
        <v>1076</v>
      </c>
      <c r="D1427" s="767">
        <f t="shared" si="50"/>
        <v>0</v>
      </c>
      <c r="E1427" s="1100"/>
      <c r="F1427" s="911"/>
      <c r="G1427" s="765"/>
      <c r="H1427" s="791"/>
      <c r="I1427" s="791"/>
      <c r="J1427" s="791"/>
      <c r="K1427" s="791"/>
      <c r="L1427" s="766"/>
      <c r="M1427" s="750">
        <f t="shared" si="49"/>
        <v>0</v>
      </c>
    </row>
    <row r="1428" spans="1:13" hidden="1" x14ac:dyDescent="0.25">
      <c r="A1428" s="751" t="s">
        <v>535</v>
      </c>
      <c r="B1428" s="751"/>
      <c r="C1428" s="745" t="s">
        <v>1077</v>
      </c>
      <c r="D1428" s="767">
        <f t="shared" si="50"/>
        <v>0</v>
      </c>
      <c r="E1428" s="1100"/>
      <c r="F1428" s="911"/>
      <c r="G1428" s="765"/>
      <c r="H1428" s="791"/>
      <c r="I1428" s="791"/>
      <c r="J1428" s="791"/>
      <c r="K1428" s="791"/>
      <c r="L1428" s="766"/>
      <c r="M1428" s="750">
        <f t="shared" si="49"/>
        <v>0</v>
      </c>
    </row>
    <row r="1429" spans="1:13" hidden="1" x14ac:dyDescent="0.25">
      <c r="A1429" s="751" t="s">
        <v>536</v>
      </c>
      <c r="B1429" s="751"/>
      <c r="C1429" s="745" t="s">
        <v>1078</v>
      </c>
      <c r="D1429" s="767">
        <f t="shared" si="50"/>
        <v>0</v>
      </c>
      <c r="E1429" s="1100"/>
      <c r="F1429" s="911"/>
      <c r="G1429" s="765"/>
      <c r="H1429" s="791"/>
      <c r="I1429" s="791"/>
      <c r="J1429" s="791"/>
      <c r="K1429" s="791"/>
      <c r="L1429" s="766"/>
      <c r="M1429" s="750">
        <f t="shared" si="49"/>
        <v>0</v>
      </c>
    </row>
    <row r="1430" spans="1:13" hidden="1" x14ac:dyDescent="0.25">
      <c r="A1430" s="751" t="s">
        <v>537</v>
      </c>
      <c r="B1430" s="751"/>
      <c r="C1430" s="745" t="s">
        <v>1079</v>
      </c>
      <c r="D1430" s="767">
        <f t="shared" si="50"/>
        <v>0</v>
      </c>
      <c r="E1430" s="1100"/>
      <c r="F1430" s="911"/>
      <c r="G1430" s="765"/>
      <c r="H1430" s="791"/>
      <c r="I1430" s="791"/>
      <c r="J1430" s="791"/>
      <c r="K1430" s="791"/>
      <c r="L1430" s="766"/>
      <c r="M1430" s="750">
        <f t="shared" ref="M1430:M1493" si="51">SUM(D1430:H1430)</f>
        <v>0</v>
      </c>
    </row>
    <row r="1431" spans="1:13" x14ac:dyDescent="0.25">
      <c r="A1431" s="751" t="s">
        <v>538</v>
      </c>
      <c r="B1431" s="751"/>
      <c r="C1431" s="745" t="s">
        <v>1080</v>
      </c>
      <c r="D1431" s="1100">
        <f t="shared" si="50"/>
        <v>888000</v>
      </c>
      <c r="E1431" s="1116">
        <v>888000</v>
      </c>
      <c r="F1431" s="311"/>
      <c r="G1431" s="765"/>
      <c r="H1431" s="791"/>
      <c r="I1431" s="791"/>
      <c r="J1431" s="791"/>
      <c r="K1431" s="791"/>
      <c r="L1431" s="766"/>
      <c r="M1431" s="750">
        <f t="shared" si="51"/>
        <v>1776000</v>
      </c>
    </row>
    <row r="1432" spans="1:13" hidden="1" x14ac:dyDescent="0.25">
      <c r="A1432" s="751" t="s">
        <v>539</v>
      </c>
      <c r="B1432" s="751"/>
      <c r="C1432" s="745" t="s">
        <v>1081</v>
      </c>
      <c r="D1432" s="767">
        <f t="shared" si="50"/>
        <v>0</v>
      </c>
      <c r="E1432" s="1100"/>
      <c r="F1432" s="911"/>
      <c r="G1432" s="765"/>
      <c r="H1432" s="791"/>
      <c r="I1432" s="791"/>
      <c r="J1432" s="791"/>
      <c r="K1432" s="791"/>
      <c r="L1432" s="766"/>
      <c r="M1432" s="750">
        <f t="shared" si="51"/>
        <v>0</v>
      </c>
    </row>
    <row r="1433" spans="1:13" hidden="1" x14ac:dyDescent="0.25">
      <c r="A1433" s="751" t="s">
        <v>540</v>
      </c>
      <c r="B1433" s="751"/>
      <c r="C1433" s="745" t="s">
        <v>1082</v>
      </c>
      <c r="D1433" s="767">
        <f t="shared" si="50"/>
        <v>0</v>
      </c>
      <c r="E1433" s="1100"/>
      <c r="F1433" s="911"/>
      <c r="G1433" s="765"/>
      <c r="H1433" s="791"/>
      <c r="I1433" s="791"/>
      <c r="J1433" s="791"/>
      <c r="K1433" s="791"/>
      <c r="L1433" s="766"/>
      <c r="M1433" s="750">
        <f t="shared" si="51"/>
        <v>0</v>
      </c>
    </row>
    <row r="1434" spans="1:13" hidden="1" x14ac:dyDescent="0.25">
      <c r="A1434" s="751" t="s">
        <v>541</v>
      </c>
      <c r="B1434" s="751"/>
      <c r="C1434" s="745" t="s">
        <v>1083</v>
      </c>
      <c r="D1434" s="767">
        <f t="shared" si="50"/>
        <v>0</v>
      </c>
      <c r="E1434" s="1100"/>
      <c r="F1434" s="911"/>
      <c r="G1434" s="765"/>
      <c r="H1434" s="791"/>
      <c r="I1434" s="791"/>
      <c r="J1434" s="791"/>
      <c r="K1434" s="791"/>
      <c r="L1434" s="766"/>
      <c r="M1434" s="750">
        <f t="shared" si="51"/>
        <v>0</v>
      </c>
    </row>
    <row r="1435" spans="1:13" hidden="1" x14ac:dyDescent="0.25">
      <c r="A1435" s="751" t="s">
        <v>542</v>
      </c>
      <c r="B1435" s="751"/>
      <c r="C1435" s="745" t="s">
        <v>1084</v>
      </c>
      <c r="D1435" s="767">
        <f t="shared" si="50"/>
        <v>0</v>
      </c>
      <c r="E1435" s="1100"/>
      <c r="F1435" s="911"/>
      <c r="G1435" s="765"/>
      <c r="H1435" s="791"/>
      <c r="I1435" s="791"/>
      <c r="J1435" s="791"/>
      <c r="K1435" s="791"/>
      <c r="L1435" s="766"/>
      <c r="M1435" s="750">
        <f t="shared" si="51"/>
        <v>0</v>
      </c>
    </row>
    <row r="1436" spans="1:13" x14ac:dyDescent="0.25">
      <c r="A1436" s="751" t="s">
        <v>543</v>
      </c>
      <c r="B1436" s="751"/>
      <c r="C1436" s="745" t="s">
        <v>1085</v>
      </c>
      <c r="D1436" s="1100">
        <f t="shared" si="50"/>
        <v>3000000</v>
      </c>
      <c r="E1436" s="1116"/>
      <c r="F1436" s="311">
        <v>3000000</v>
      </c>
      <c r="G1436" s="765"/>
      <c r="H1436" s="791"/>
      <c r="I1436" s="791"/>
      <c r="J1436" s="791"/>
      <c r="K1436" s="791"/>
      <c r="L1436" s="766"/>
      <c r="M1436" s="750">
        <f t="shared" si="51"/>
        <v>6000000</v>
      </c>
    </row>
    <row r="1437" spans="1:13" hidden="1" x14ac:dyDescent="0.25">
      <c r="A1437" s="751" t="s">
        <v>544</v>
      </c>
      <c r="B1437" s="751"/>
      <c r="C1437" s="745" t="s">
        <v>1086</v>
      </c>
      <c r="D1437" s="767">
        <f t="shared" si="50"/>
        <v>0</v>
      </c>
      <c r="E1437" s="1100"/>
      <c r="F1437" s="911"/>
      <c r="G1437" s="765"/>
      <c r="H1437" s="791"/>
      <c r="I1437" s="791"/>
      <c r="J1437" s="791"/>
      <c r="K1437" s="791"/>
      <c r="L1437" s="766"/>
      <c r="M1437" s="750">
        <f t="shared" si="51"/>
        <v>0</v>
      </c>
    </row>
    <row r="1438" spans="1:13" hidden="1" x14ac:dyDescent="0.25">
      <c r="A1438" s="751" t="s">
        <v>545</v>
      </c>
      <c r="B1438" s="751"/>
      <c r="C1438" s="745" t="s">
        <v>1087</v>
      </c>
      <c r="D1438" s="767">
        <f t="shared" si="50"/>
        <v>0</v>
      </c>
      <c r="E1438" s="1100"/>
      <c r="F1438" s="911"/>
      <c r="G1438" s="765"/>
      <c r="H1438" s="791"/>
      <c r="I1438" s="791"/>
      <c r="J1438" s="791"/>
      <c r="K1438" s="791"/>
      <c r="L1438" s="766"/>
      <c r="M1438" s="750">
        <f t="shared" si="51"/>
        <v>0</v>
      </c>
    </row>
    <row r="1439" spans="1:13" hidden="1" x14ac:dyDescent="0.25">
      <c r="A1439" s="751" t="s">
        <v>546</v>
      </c>
      <c r="B1439" s="751"/>
      <c r="C1439" s="745" t="s">
        <v>1088</v>
      </c>
      <c r="D1439" s="767">
        <f t="shared" si="50"/>
        <v>0</v>
      </c>
      <c r="E1439" s="1100"/>
      <c r="F1439" s="911"/>
      <c r="G1439" s="765"/>
      <c r="H1439" s="791"/>
      <c r="I1439" s="791"/>
      <c r="J1439" s="791"/>
      <c r="K1439" s="791"/>
      <c r="L1439" s="766"/>
      <c r="M1439" s="750">
        <f t="shared" si="51"/>
        <v>0</v>
      </c>
    </row>
    <row r="1440" spans="1:13" hidden="1" x14ac:dyDescent="0.25">
      <c r="A1440" s="751" t="s">
        <v>547</v>
      </c>
      <c r="B1440" s="751"/>
      <c r="C1440" s="745" t="s">
        <v>1089</v>
      </c>
      <c r="D1440" s="767">
        <f t="shared" si="50"/>
        <v>0</v>
      </c>
      <c r="E1440" s="1100"/>
      <c r="F1440" s="911"/>
      <c r="G1440" s="765"/>
      <c r="H1440" s="791"/>
      <c r="I1440" s="791"/>
      <c r="J1440" s="791"/>
      <c r="K1440" s="791"/>
      <c r="L1440" s="766"/>
      <c r="M1440" s="750">
        <f t="shared" si="51"/>
        <v>0</v>
      </c>
    </row>
    <row r="1441" spans="1:13" hidden="1" x14ac:dyDescent="0.25">
      <c r="A1441" s="751" t="s">
        <v>548</v>
      </c>
      <c r="B1441" s="751"/>
      <c r="C1441" s="745" t="s">
        <v>1090</v>
      </c>
      <c r="D1441" s="767">
        <f t="shared" si="50"/>
        <v>0</v>
      </c>
      <c r="E1441" s="1100"/>
      <c r="F1441" s="911"/>
      <c r="G1441" s="765"/>
      <c r="H1441" s="791"/>
      <c r="I1441" s="791"/>
      <c r="J1441" s="791"/>
      <c r="K1441" s="791"/>
      <c r="L1441" s="766"/>
      <c r="M1441" s="750">
        <f t="shared" si="51"/>
        <v>0</v>
      </c>
    </row>
    <row r="1442" spans="1:13" x14ac:dyDescent="0.25">
      <c r="A1442" s="751" t="s">
        <v>549</v>
      </c>
      <c r="B1442" s="751"/>
      <c r="C1442" s="745" t="s">
        <v>1091</v>
      </c>
      <c r="D1442" s="1100">
        <f t="shared" si="50"/>
        <v>582000</v>
      </c>
      <c r="E1442" s="1116">
        <v>482000</v>
      </c>
      <c r="F1442" s="311">
        <v>100000</v>
      </c>
      <c r="G1442" s="765"/>
      <c r="H1442" s="791"/>
      <c r="I1442" s="791"/>
      <c r="J1442" s="791"/>
      <c r="K1442" s="791"/>
      <c r="L1442" s="766"/>
      <c r="M1442" s="750">
        <f t="shared" si="51"/>
        <v>1164000</v>
      </c>
    </row>
    <row r="1443" spans="1:13" hidden="1" x14ac:dyDescent="0.25">
      <c r="A1443" s="751" t="s">
        <v>550</v>
      </c>
      <c r="B1443" s="751"/>
      <c r="C1443" s="745" t="s">
        <v>1092</v>
      </c>
      <c r="D1443" s="1100">
        <f t="shared" si="50"/>
        <v>0</v>
      </c>
      <c r="E1443" s="1116"/>
      <c r="F1443" s="311"/>
      <c r="G1443" s="765"/>
      <c r="H1443" s="791"/>
      <c r="I1443" s="791"/>
      <c r="J1443" s="791"/>
      <c r="K1443" s="791"/>
      <c r="L1443" s="766"/>
      <c r="M1443" s="750">
        <f t="shared" si="51"/>
        <v>0</v>
      </c>
    </row>
    <row r="1444" spans="1:13" hidden="1" x14ac:dyDescent="0.25">
      <c r="A1444" s="751" t="s">
        <v>551</v>
      </c>
      <c r="B1444" s="751"/>
      <c r="C1444" s="745" t="s">
        <v>1093</v>
      </c>
      <c r="D1444" s="1100">
        <f t="shared" si="50"/>
        <v>0</v>
      </c>
      <c r="E1444" s="1116"/>
      <c r="F1444" s="311"/>
      <c r="G1444" s="765"/>
      <c r="H1444" s="791"/>
      <c r="I1444" s="791"/>
      <c r="J1444" s="791"/>
      <c r="K1444" s="791"/>
      <c r="L1444" s="766"/>
      <c r="M1444" s="750">
        <f t="shared" si="51"/>
        <v>0</v>
      </c>
    </row>
    <row r="1445" spans="1:13" hidden="1" x14ac:dyDescent="0.25">
      <c r="A1445" s="751" t="s">
        <v>552</v>
      </c>
      <c r="B1445" s="751"/>
      <c r="C1445" s="745" t="s">
        <v>1094</v>
      </c>
      <c r="D1445" s="1100">
        <f t="shared" si="50"/>
        <v>0</v>
      </c>
      <c r="E1445" s="1116"/>
      <c r="F1445" s="311"/>
      <c r="G1445" s="765"/>
      <c r="H1445" s="791"/>
      <c r="I1445" s="791"/>
      <c r="J1445" s="791"/>
      <c r="K1445" s="791"/>
      <c r="L1445" s="766"/>
      <c r="M1445" s="750">
        <f t="shared" si="51"/>
        <v>0</v>
      </c>
    </row>
    <row r="1446" spans="1:13" hidden="1" x14ac:dyDescent="0.25">
      <c r="A1446" s="751" t="s">
        <v>553</v>
      </c>
      <c r="B1446" s="751"/>
      <c r="C1446" s="745" t="s">
        <v>1095</v>
      </c>
      <c r="D1446" s="1100">
        <f t="shared" si="50"/>
        <v>0</v>
      </c>
      <c r="E1446" s="1116"/>
      <c r="F1446" s="311"/>
      <c r="G1446" s="765"/>
      <c r="H1446" s="791"/>
      <c r="I1446" s="791"/>
      <c r="J1446" s="791"/>
      <c r="K1446" s="791"/>
      <c r="L1446" s="766"/>
      <c r="M1446" s="750">
        <f t="shared" si="51"/>
        <v>0</v>
      </c>
    </row>
    <row r="1447" spans="1:13" hidden="1" x14ac:dyDescent="0.25">
      <c r="A1447" s="751" t="s">
        <v>554</v>
      </c>
      <c r="B1447" s="751"/>
      <c r="C1447" s="745" t="s">
        <v>1096</v>
      </c>
      <c r="D1447" s="1100">
        <f t="shared" si="50"/>
        <v>0</v>
      </c>
      <c r="E1447" s="1116"/>
      <c r="F1447" s="311"/>
      <c r="G1447" s="765"/>
      <c r="H1447" s="791"/>
      <c r="I1447" s="791"/>
      <c r="J1447" s="791"/>
      <c r="K1447" s="791"/>
      <c r="L1447" s="766"/>
      <c r="M1447" s="750">
        <f t="shared" si="51"/>
        <v>0</v>
      </c>
    </row>
    <row r="1448" spans="1:13" hidden="1" x14ac:dyDescent="0.25">
      <c r="A1448" s="751" t="s">
        <v>555</v>
      </c>
      <c r="B1448" s="751"/>
      <c r="C1448" s="745" t="s">
        <v>1097</v>
      </c>
      <c r="D1448" s="1100">
        <f t="shared" si="50"/>
        <v>0</v>
      </c>
      <c r="E1448" s="1116"/>
      <c r="F1448" s="311"/>
      <c r="G1448" s="765"/>
      <c r="H1448" s="791"/>
      <c r="I1448" s="791"/>
      <c r="J1448" s="791"/>
      <c r="K1448" s="791"/>
      <c r="L1448" s="766"/>
      <c r="M1448" s="750">
        <f t="shared" si="51"/>
        <v>0</v>
      </c>
    </row>
    <row r="1449" spans="1:13" hidden="1" x14ac:dyDescent="0.25">
      <c r="A1449" s="751" t="s">
        <v>556</v>
      </c>
      <c r="B1449" s="751"/>
      <c r="C1449" s="745" t="s">
        <v>1098</v>
      </c>
      <c r="D1449" s="1100">
        <f t="shared" si="50"/>
        <v>0</v>
      </c>
      <c r="E1449" s="1116"/>
      <c r="F1449" s="311"/>
      <c r="G1449" s="765"/>
      <c r="H1449" s="791"/>
      <c r="I1449" s="791"/>
      <c r="J1449" s="791"/>
      <c r="K1449" s="791"/>
      <c r="L1449" s="766"/>
      <c r="M1449" s="750">
        <f t="shared" si="51"/>
        <v>0</v>
      </c>
    </row>
    <row r="1450" spans="1:13" x14ac:dyDescent="0.25">
      <c r="A1450" s="751" t="s">
        <v>557</v>
      </c>
      <c r="B1450" s="751"/>
      <c r="C1450" s="745" t="s">
        <v>1099</v>
      </c>
      <c r="D1450" s="1100">
        <f t="shared" si="50"/>
        <v>500000</v>
      </c>
      <c r="E1450" s="1116"/>
      <c r="F1450" s="311">
        <v>500000</v>
      </c>
      <c r="G1450" s="765"/>
      <c r="H1450" s="791"/>
      <c r="I1450" s="791"/>
      <c r="J1450" s="791"/>
      <c r="K1450" s="791"/>
      <c r="L1450" s="766"/>
      <c r="M1450" s="750">
        <f t="shared" si="51"/>
        <v>1000000</v>
      </c>
    </row>
    <row r="1451" spans="1:13" hidden="1" x14ac:dyDescent="0.25">
      <c r="A1451" s="751" t="s">
        <v>558</v>
      </c>
      <c r="B1451" s="751"/>
      <c r="C1451" s="745" t="s">
        <v>1100</v>
      </c>
      <c r="D1451" s="1100">
        <f t="shared" si="50"/>
        <v>0</v>
      </c>
      <c r="E1451" s="1116"/>
      <c r="F1451" s="311"/>
      <c r="G1451" s="765"/>
      <c r="H1451" s="791"/>
      <c r="I1451" s="791"/>
      <c r="J1451" s="791"/>
      <c r="K1451" s="791"/>
      <c r="L1451" s="766"/>
      <c r="M1451" s="750">
        <f t="shared" si="51"/>
        <v>0</v>
      </c>
    </row>
    <row r="1452" spans="1:13" hidden="1" x14ac:dyDescent="0.25">
      <c r="A1452" s="751" t="s">
        <v>559</v>
      </c>
      <c r="B1452" s="751"/>
      <c r="C1452" s="745" t="s">
        <v>1101</v>
      </c>
      <c r="D1452" s="1100">
        <f t="shared" si="50"/>
        <v>0</v>
      </c>
      <c r="E1452" s="1116"/>
      <c r="F1452" s="311"/>
      <c r="G1452" s="765"/>
      <c r="H1452" s="791"/>
      <c r="I1452" s="791"/>
      <c r="J1452" s="791"/>
      <c r="K1452" s="791"/>
      <c r="L1452" s="766"/>
      <c r="M1452" s="750">
        <f t="shared" si="51"/>
        <v>0</v>
      </c>
    </row>
    <row r="1453" spans="1:13" hidden="1" x14ac:dyDescent="0.25">
      <c r="A1453" s="751" t="s">
        <v>560</v>
      </c>
      <c r="B1453" s="751"/>
      <c r="C1453" s="745" t="s">
        <v>1102</v>
      </c>
      <c r="D1453" s="1100">
        <f t="shared" si="50"/>
        <v>0</v>
      </c>
      <c r="E1453" s="1116"/>
      <c r="F1453" s="311"/>
      <c r="G1453" s="765"/>
      <c r="H1453" s="791"/>
      <c r="I1453" s="791"/>
      <c r="J1453" s="791"/>
      <c r="K1453" s="791"/>
      <c r="L1453" s="766"/>
      <c r="M1453" s="750">
        <f t="shared" si="51"/>
        <v>0</v>
      </c>
    </row>
    <row r="1454" spans="1:13" hidden="1" x14ac:dyDescent="0.25">
      <c r="A1454" s="751" t="s">
        <v>561</v>
      </c>
      <c r="B1454" s="751"/>
      <c r="C1454" s="745" t="s">
        <v>1103</v>
      </c>
      <c r="D1454" s="1100">
        <f t="shared" si="50"/>
        <v>0</v>
      </c>
      <c r="E1454" s="1116"/>
      <c r="F1454" s="311"/>
      <c r="G1454" s="765"/>
      <c r="H1454" s="791"/>
      <c r="I1454" s="791"/>
      <c r="J1454" s="791"/>
      <c r="K1454" s="791"/>
      <c r="L1454" s="766"/>
      <c r="M1454" s="750">
        <f t="shared" si="51"/>
        <v>0</v>
      </c>
    </row>
    <row r="1455" spans="1:13" x14ac:dyDescent="0.25">
      <c r="A1455" s="751" t="s">
        <v>562</v>
      </c>
      <c r="B1455" s="751"/>
      <c r="C1455" s="745" t="s">
        <v>1104</v>
      </c>
      <c r="D1455" s="1100">
        <f t="shared" si="50"/>
        <v>1363160</v>
      </c>
      <c r="E1455" s="1116"/>
      <c r="F1455" s="311">
        <v>1363160</v>
      </c>
      <c r="G1455" s="765"/>
      <c r="H1455" s="791"/>
      <c r="I1455" s="791"/>
      <c r="J1455" s="791"/>
      <c r="K1455" s="791"/>
      <c r="L1455" s="766"/>
      <c r="M1455" s="750">
        <f t="shared" si="51"/>
        <v>2726320</v>
      </c>
    </row>
    <row r="1456" spans="1:13" hidden="1" x14ac:dyDescent="0.25">
      <c r="A1456" s="751" t="s">
        <v>563</v>
      </c>
      <c r="B1456" s="751"/>
      <c r="C1456" s="745" t="s">
        <v>1105</v>
      </c>
      <c r="D1456" s="1100">
        <f t="shared" si="50"/>
        <v>0</v>
      </c>
      <c r="E1456" s="1116"/>
      <c r="F1456" s="311"/>
      <c r="G1456" s="765"/>
      <c r="H1456" s="791"/>
      <c r="I1456" s="791"/>
      <c r="J1456" s="791"/>
      <c r="K1456" s="791"/>
      <c r="L1456" s="766"/>
      <c r="M1456" s="750">
        <f t="shared" si="51"/>
        <v>0</v>
      </c>
    </row>
    <row r="1457" spans="1:13" hidden="1" x14ac:dyDescent="0.25">
      <c r="A1457" s="751" t="s">
        <v>564</v>
      </c>
      <c r="B1457" s="751"/>
      <c r="C1457" s="745" t="s">
        <v>1106</v>
      </c>
      <c r="D1457" s="1100">
        <f t="shared" si="50"/>
        <v>0</v>
      </c>
      <c r="E1457" s="1116"/>
      <c r="F1457" s="311"/>
      <c r="G1457" s="765"/>
      <c r="H1457" s="791"/>
      <c r="I1457" s="791"/>
      <c r="J1457" s="791"/>
      <c r="K1457" s="791"/>
      <c r="L1457" s="766"/>
      <c r="M1457" s="750">
        <f t="shared" si="51"/>
        <v>0</v>
      </c>
    </row>
    <row r="1458" spans="1:13" hidden="1" x14ac:dyDescent="0.25">
      <c r="A1458" s="751" t="s">
        <v>565</v>
      </c>
      <c r="B1458" s="751"/>
      <c r="C1458" s="745" t="s">
        <v>1107</v>
      </c>
      <c r="D1458" s="1100">
        <f t="shared" si="50"/>
        <v>0</v>
      </c>
      <c r="E1458" s="1116"/>
      <c r="F1458" s="311"/>
      <c r="G1458" s="765"/>
      <c r="H1458" s="791"/>
      <c r="I1458" s="791"/>
      <c r="J1458" s="791"/>
      <c r="K1458" s="791"/>
      <c r="L1458" s="766"/>
      <c r="M1458" s="750">
        <f t="shared" si="51"/>
        <v>0</v>
      </c>
    </row>
    <row r="1459" spans="1:13" hidden="1" x14ac:dyDescent="0.25">
      <c r="A1459" s="751" t="s">
        <v>566</v>
      </c>
      <c r="B1459" s="751"/>
      <c r="C1459" s="745" t="s">
        <v>1108</v>
      </c>
      <c r="D1459" s="1100">
        <f t="shared" si="50"/>
        <v>0</v>
      </c>
      <c r="E1459" s="1116"/>
      <c r="F1459" s="311"/>
      <c r="G1459" s="765"/>
      <c r="H1459" s="791"/>
      <c r="I1459" s="791"/>
      <c r="J1459" s="791"/>
      <c r="K1459" s="791"/>
      <c r="L1459" s="766"/>
      <c r="M1459" s="750">
        <f t="shared" si="51"/>
        <v>0</v>
      </c>
    </row>
    <row r="1460" spans="1:13" hidden="1" x14ac:dyDescent="0.25">
      <c r="A1460" s="751" t="s">
        <v>567</v>
      </c>
      <c r="B1460" s="751"/>
      <c r="C1460" s="745" t="s">
        <v>1109</v>
      </c>
      <c r="D1460" s="1100">
        <f t="shared" si="50"/>
        <v>0</v>
      </c>
      <c r="E1460" s="1116"/>
      <c r="F1460" s="311"/>
      <c r="G1460" s="765"/>
      <c r="H1460" s="791"/>
      <c r="I1460" s="791"/>
      <c r="J1460" s="791"/>
      <c r="K1460" s="791"/>
      <c r="L1460" s="766"/>
      <c r="M1460" s="750">
        <f t="shared" si="51"/>
        <v>0</v>
      </c>
    </row>
    <row r="1461" spans="1:13" hidden="1" x14ac:dyDescent="0.25">
      <c r="A1461" s="751" t="s">
        <v>780</v>
      </c>
      <c r="B1461" s="751"/>
      <c r="C1461" s="745" t="s">
        <v>1110</v>
      </c>
      <c r="D1461" s="1100">
        <f t="shared" si="50"/>
        <v>0</v>
      </c>
      <c r="E1461" s="1116"/>
      <c r="F1461" s="311"/>
      <c r="G1461" s="765"/>
      <c r="H1461" s="791"/>
      <c r="I1461" s="791"/>
      <c r="J1461" s="791"/>
      <c r="K1461" s="791"/>
      <c r="L1461" s="766"/>
      <c r="M1461" s="750">
        <f t="shared" si="51"/>
        <v>0</v>
      </c>
    </row>
    <row r="1462" spans="1:13" hidden="1" x14ac:dyDescent="0.25">
      <c r="A1462" s="751" t="s">
        <v>781</v>
      </c>
      <c r="B1462" s="751"/>
      <c r="C1462" s="745" t="s">
        <v>1111</v>
      </c>
      <c r="D1462" s="1100">
        <f t="shared" si="50"/>
        <v>0</v>
      </c>
      <c r="E1462" s="1116"/>
      <c r="F1462" s="311"/>
      <c r="G1462" s="765"/>
      <c r="H1462" s="791"/>
      <c r="I1462" s="791"/>
      <c r="J1462" s="791"/>
      <c r="K1462" s="791"/>
      <c r="L1462" s="766"/>
      <c r="M1462" s="750">
        <f t="shared" si="51"/>
        <v>0</v>
      </c>
    </row>
    <row r="1463" spans="1:13" hidden="1" x14ac:dyDescent="0.25">
      <c r="A1463" s="751" t="s">
        <v>782</v>
      </c>
      <c r="B1463" s="751"/>
      <c r="C1463" s="745" t="s">
        <v>1112</v>
      </c>
      <c r="D1463" s="1100">
        <f t="shared" si="50"/>
        <v>0</v>
      </c>
      <c r="E1463" s="1116"/>
      <c r="F1463" s="311"/>
      <c r="G1463" s="765"/>
      <c r="H1463" s="791"/>
      <c r="I1463" s="791"/>
      <c r="J1463" s="791"/>
      <c r="K1463" s="791"/>
      <c r="L1463" s="766"/>
      <c r="M1463" s="750">
        <f t="shared" si="51"/>
        <v>0</v>
      </c>
    </row>
    <row r="1464" spans="1:13" hidden="1" x14ac:dyDescent="0.25">
      <c r="A1464" s="751" t="s">
        <v>783</v>
      </c>
      <c r="B1464" s="751"/>
      <c r="C1464" s="745" t="s">
        <v>1113</v>
      </c>
      <c r="D1464" s="1100">
        <f t="shared" si="50"/>
        <v>0</v>
      </c>
      <c r="E1464" s="1116"/>
      <c r="F1464" s="311"/>
      <c r="G1464" s="765"/>
      <c r="H1464" s="791"/>
      <c r="I1464" s="791"/>
      <c r="J1464" s="791"/>
      <c r="K1464" s="791"/>
      <c r="L1464" s="766"/>
      <c r="M1464" s="750">
        <f t="shared" si="51"/>
        <v>0</v>
      </c>
    </row>
    <row r="1465" spans="1:13" x14ac:dyDescent="0.25">
      <c r="A1465" s="751" t="s">
        <v>784</v>
      </c>
      <c r="B1465" s="751"/>
      <c r="C1465" s="745" t="s">
        <v>1114</v>
      </c>
      <c r="D1465" s="1100">
        <f t="shared" si="50"/>
        <v>70000</v>
      </c>
      <c r="E1465" s="1116">
        <v>70000</v>
      </c>
      <c r="F1465" s="311"/>
      <c r="G1465" s="765"/>
      <c r="H1465" s="791"/>
      <c r="I1465" s="791"/>
      <c r="J1465" s="791"/>
      <c r="K1465" s="791"/>
      <c r="L1465" s="766"/>
      <c r="M1465" s="750">
        <f t="shared" si="51"/>
        <v>140000</v>
      </c>
    </row>
    <row r="1466" spans="1:13" hidden="1" x14ac:dyDescent="0.25">
      <c r="A1466" s="751" t="s">
        <v>785</v>
      </c>
      <c r="B1466" s="751"/>
      <c r="C1466" s="745" t="s">
        <v>1115</v>
      </c>
      <c r="D1466" s="1100">
        <f t="shared" si="50"/>
        <v>0</v>
      </c>
      <c r="E1466" s="1116"/>
      <c r="F1466" s="311"/>
      <c r="G1466" s="765"/>
      <c r="H1466" s="791"/>
      <c r="I1466" s="791"/>
      <c r="J1466" s="791"/>
      <c r="K1466" s="791"/>
      <c r="L1466" s="766"/>
      <c r="M1466" s="750">
        <f t="shared" si="51"/>
        <v>0</v>
      </c>
    </row>
    <row r="1467" spans="1:13" hidden="1" x14ac:dyDescent="0.25">
      <c r="A1467" s="751" t="s">
        <v>910</v>
      </c>
      <c r="B1467" s="751"/>
      <c r="C1467" s="745" t="s">
        <v>1116</v>
      </c>
      <c r="D1467" s="1100">
        <f t="shared" si="50"/>
        <v>0</v>
      </c>
      <c r="E1467" s="1116"/>
      <c r="F1467" s="311"/>
      <c r="G1467" s="765"/>
      <c r="H1467" s="791"/>
      <c r="I1467" s="791"/>
      <c r="J1467" s="791"/>
      <c r="K1467" s="791"/>
      <c r="L1467" s="766"/>
      <c r="M1467" s="750">
        <f t="shared" si="51"/>
        <v>0</v>
      </c>
    </row>
    <row r="1468" spans="1:13" hidden="1" x14ac:dyDescent="0.25">
      <c r="A1468" s="751" t="s">
        <v>911</v>
      </c>
      <c r="B1468" s="751"/>
      <c r="C1468" s="745" t="s">
        <v>1117</v>
      </c>
      <c r="D1468" s="1100">
        <f t="shared" si="50"/>
        <v>0</v>
      </c>
      <c r="E1468" s="1116"/>
      <c r="F1468" s="311"/>
      <c r="G1468" s="765"/>
      <c r="H1468" s="791"/>
      <c r="I1468" s="791"/>
      <c r="J1468" s="791"/>
      <c r="K1468" s="791"/>
      <c r="L1468" s="766"/>
      <c r="M1468" s="750">
        <f t="shared" si="51"/>
        <v>0</v>
      </c>
    </row>
    <row r="1469" spans="1:13" hidden="1" x14ac:dyDescent="0.25">
      <c r="A1469" s="751" t="s">
        <v>1118</v>
      </c>
      <c r="B1469" s="751"/>
      <c r="C1469" s="745" t="s">
        <v>1119</v>
      </c>
      <c r="D1469" s="1100">
        <f t="shared" si="50"/>
        <v>0</v>
      </c>
      <c r="E1469" s="1116"/>
      <c r="F1469" s="311"/>
      <c r="G1469" s="765"/>
      <c r="H1469" s="791"/>
      <c r="I1469" s="791"/>
      <c r="J1469" s="791"/>
      <c r="K1469" s="791"/>
      <c r="L1469" s="766"/>
      <c r="M1469" s="750">
        <f t="shared" si="51"/>
        <v>0</v>
      </c>
    </row>
    <row r="1470" spans="1:13" hidden="1" x14ac:dyDescent="0.25">
      <c r="A1470" s="751" t="s">
        <v>1120</v>
      </c>
      <c r="B1470" s="751"/>
      <c r="C1470" s="745" t="s">
        <v>1121</v>
      </c>
      <c r="D1470" s="1100">
        <f t="shared" si="50"/>
        <v>0</v>
      </c>
      <c r="E1470" s="1116"/>
      <c r="F1470" s="311"/>
      <c r="G1470" s="765"/>
      <c r="H1470" s="791"/>
      <c r="I1470" s="791"/>
      <c r="J1470" s="791"/>
      <c r="K1470" s="791"/>
      <c r="L1470" s="766"/>
      <c r="M1470" s="750">
        <f t="shared" si="51"/>
        <v>0</v>
      </c>
    </row>
    <row r="1471" spans="1:13" hidden="1" x14ac:dyDescent="0.25">
      <c r="A1471" s="751" t="s">
        <v>1122</v>
      </c>
      <c r="B1471" s="751"/>
      <c r="C1471" s="745" t="s">
        <v>1123</v>
      </c>
      <c r="D1471" s="1100">
        <f t="shared" si="50"/>
        <v>0</v>
      </c>
      <c r="E1471" s="1116"/>
      <c r="F1471" s="311"/>
      <c r="G1471" s="765"/>
      <c r="H1471" s="791"/>
      <c r="I1471" s="791"/>
      <c r="J1471" s="791"/>
      <c r="K1471" s="791"/>
      <c r="L1471" s="766"/>
      <c r="M1471" s="750">
        <f t="shared" si="51"/>
        <v>0</v>
      </c>
    </row>
    <row r="1472" spans="1:13" x14ac:dyDescent="0.25">
      <c r="A1472" s="751" t="s">
        <v>1124</v>
      </c>
      <c r="B1472" s="751"/>
      <c r="C1472" s="745" t="s">
        <v>1125</v>
      </c>
      <c r="D1472" s="1100">
        <f t="shared" si="50"/>
        <v>3170400</v>
      </c>
      <c r="E1472" s="1116"/>
      <c r="F1472" s="311">
        <v>3170400</v>
      </c>
      <c r="G1472" s="765"/>
      <c r="H1472" s="791"/>
      <c r="I1472" s="791"/>
      <c r="J1472" s="791"/>
      <c r="K1472" s="791"/>
      <c r="L1472" s="766"/>
      <c r="M1472" s="750">
        <f t="shared" si="51"/>
        <v>6340800</v>
      </c>
    </row>
    <row r="1473" spans="1:16" hidden="1" x14ac:dyDescent="0.25">
      <c r="A1473" s="751" t="s">
        <v>1126</v>
      </c>
      <c r="B1473" s="751"/>
      <c r="C1473" s="745" t="s">
        <v>1127</v>
      </c>
      <c r="D1473" s="767">
        <f t="shared" si="50"/>
        <v>0</v>
      </c>
      <c r="E1473" s="1100"/>
      <c r="F1473" s="911"/>
      <c r="G1473" s="765"/>
      <c r="H1473" s="791"/>
      <c r="I1473" s="791"/>
      <c r="J1473" s="791"/>
      <c r="K1473" s="791"/>
      <c r="L1473" s="766"/>
      <c r="M1473" s="750">
        <f t="shared" si="51"/>
        <v>0</v>
      </c>
    </row>
    <row r="1474" spans="1:16" hidden="1" x14ac:dyDescent="0.25">
      <c r="A1474" s="751" t="s">
        <v>1128</v>
      </c>
      <c r="B1474" s="751"/>
      <c r="C1474" s="745" t="s">
        <v>1129</v>
      </c>
      <c r="D1474" s="767">
        <f t="shared" si="50"/>
        <v>0</v>
      </c>
      <c r="E1474" s="1100"/>
      <c r="F1474" s="911"/>
      <c r="G1474" s="765"/>
      <c r="H1474" s="791"/>
      <c r="I1474" s="791"/>
      <c r="J1474" s="791"/>
      <c r="K1474" s="791"/>
      <c r="L1474" s="766"/>
      <c r="M1474" s="750">
        <f t="shared" si="51"/>
        <v>0</v>
      </c>
    </row>
    <row r="1475" spans="1:16" hidden="1" x14ac:dyDescent="0.25">
      <c r="A1475" s="751" t="s">
        <v>1130</v>
      </c>
      <c r="B1475" s="751"/>
      <c r="C1475" s="745" t="s">
        <v>1131</v>
      </c>
      <c r="D1475" s="767">
        <f t="shared" si="50"/>
        <v>0</v>
      </c>
      <c r="E1475" s="1100"/>
      <c r="F1475" s="911"/>
      <c r="G1475" s="765"/>
      <c r="H1475" s="791"/>
      <c r="I1475" s="791"/>
      <c r="J1475" s="791"/>
      <c r="K1475" s="791"/>
      <c r="L1475" s="766"/>
      <c r="M1475" s="750">
        <f t="shared" si="51"/>
        <v>0</v>
      </c>
    </row>
    <row r="1476" spans="1:16" hidden="1" x14ac:dyDescent="0.25">
      <c r="A1476" s="751" t="s">
        <v>1132</v>
      </c>
      <c r="B1476" s="751"/>
      <c r="C1476" s="745" t="s">
        <v>1133</v>
      </c>
      <c r="D1476" s="767">
        <f t="shared" si="50"/>
        <v>0</v>
      </c>
      <c r="E1476" s="1100"/>
      <c r="F1476" s="911"/>
      <c r="G1476" s="765"/>
      <c r="H1476" s="791"/>
      <c r="I1476" s="791"/>
      <c r="J1476" s="791"/>
      <c r="K1476" s="791"/>
      <c r="L1476" s="766"/>
      <c r="M1476" s="750">
        <f t="shared" si="51"/>
        <v>0</v>
      </c>
    </row>
    <row r="1477" spans="1:16" hidden="1" x14ac:dyDescent="0.25">
      <c r="A1477" s="751" t="s">
        <v>1134</v>
      </c>
      <c r="B1477" s="751"/>
      <c r="C1477" s="745" t="s">
        <v>1135</v>
      </c>
      <c r="D1477" s="767">
        <f t="shared" si="50"/>
        <v>0</v>
      </c>
      <c r="E1477" s="1100"/>
      <c r="F1477" s="911"/>
      <c r="G1477" s="765"/>
      <c r="H1477" s="791"/>
      <c r="I1477" s="791"/>
      <c r="J1477" s="791"/>
      <c r="K1477" s="791"/>
      <c r="L1477" s="766"/>
      <c r="M1477" s="750">
        <f t="shared" si="51"/>
        <v>0</v>
      </c>
    </row>
    <row r="1478" spans="1:16" hidden="1" x14ac:dyDescent="0.25">
      <c r="A1478" s="751" t="s">
        <v>1136</v>
      </c>
      <c r="B1478" s="751"/>
      <c r="C1478" s="745" t="s">
        <v>1137</v>
      </c>
      <c r="D1478" s="767">
        <f t="shared" si="50"/>
        <v>0</v>
      </c>
      <c r="E1478" s="1100"/>
      <c r="F1478" s="911"/>
      <c r="G1478" s="765"/>
      <c r="H1478" s="791"/>
      <c r="I1478" s="791"/>
      <c r="J1478" s="791"/>
      <c r="K1478" s="791"/>
      <c r="L1478" s="766"/>
      <c r="M1478" s="750">
        <f t="shared" si="51"/>
        <v>0</v>
      </c>
    </row>
    <row r="1479" spans="1:16" hidden="1" x14ac:dyDescent="0.25">
      <c r="A1479" s="751" t="s">
        <v>1138</v>
      </c>
      <c r="B1479" s="751"/>
      <c r="C1479" s="745" t="s">
        <v>1139</v>
      </c>
      <c r="D1479" s="767">
        <f t="shared" si="50"/>
        <v>0</v>
      </c>
      <c r="E1479" s="911"/>
      <c r="F1479" s="911"/>
      <c r="G1479" s="765"/>
      <c r="H1479" s="791"/>
      <c r="I1479" s="791"/>
      <c r="J1479" s="791"/>
      <c r="K1479" s="791"/>
      <c r="L1479" s="766"/>
      <c r="M1479" s="750">
        <f t="shared" si="51"/>
        <v>0</v>
      </c>
    </row>
    <row r="1480" spans="1:16" hidden="1" x14ac:dyDescent="0.25">
      <c r="A1480" s="751" t="s">
        <v>1140</v>
      </c>
      <c r="B1480" s="751"/>
      <c r="C1480" s="745" t="s">
        <v>1141</v>
      </c>
      <c r="D1480" s="767">
        <f t="shared" si="50"/>
        <v>0</v>
      </c>
      <c r="E1480" s="911"/>
      <c r="F1480" s="911"/>
      <c r="G1480" s="765"/>
      <c r="H1480" s="791"/>
      <c r="I1480" s="791"/>
      <c r="J1480" s="791"/>
      <c r="K1480" s="791"/>
      <c r="L1480" s="766"/>
      <c r="M1480" s="750">
        <f t="shared" si="51"/>
        <v>0</v>
      </c>
    </row>
    <row r="1481" spans="1:16" hidden="1" x14ac:dyDescent="0.25">
      <c r="A1481" s="751" t="s">
        <v>1142</v>
      </c>
      <c r="B1481" s="751"/>
      <c r="C1481" s="745" t="s">
        <v>1143</v>
      </c>
      <c r="D1481" s="767">
        <f t="shared" si="50"/>
        <v>0</v>
      </c>
      <c r="E1481" s="911"/>
      <c r="F1481" s="911"/>
      <c r="G1481" s="765"/>
      <c r="H1481" s="791"/>
      <c r="I1481" s="791"/>
      <c r="J1481" s="791"/>
      <c r="K1481" s="791"/>
      <c r="L1481" s="766"/>
      <c r="M1481" s="750">
        <f t="shared" si="51"/>
        <v>0</v>
      </c>
    </row>
    <row r="1482" spans="1:16" hidden="1" x14ac:dyDescent="0.25">
      <c r="A1482" s="751" t="s">
        <v>1144</v>
      </c>
      <c r="B1482" s="751"/>
      <c r="C1482" s="745" t="s">
        <v>1145</v>
      </c>
      <c r="D1482" s="767">
        <f t="shared" si="50"/>
        <v>0</v>
      </c>
      <c r="E1482" s="911"/>
      <c r="F1482" s="911"/>
      <c r="G1482" s="765"/>
      <c r="H1482" s="791"/>
      <c r="I1482" s="791"/>
      <c r="J1482" s="791"/>
      <c r="K1482" s="791"/>
      <c r="L1482" s="766"/>
      <c r="M1482" s="750">
        <f t="shared" si="51"/>
        <v>0</v>
      </c>
    </row>
    <row r="1483" spans="1:16" hidden="1" x14ac:dyDescent="0.25">
      <c r="A1483" s="751" t="s">
        <v>1146</v>
      </c>
      <c r="B1483" s="751"/>
      <c r="C1483" s="745" t="s">
        <v>1147</v>
      </c>
      <c r="D1483" s="767">
        <f t="shared" si="50"/>
        <v>0</v>
      </c>
      <c r="E1483" s="911"/>
      <c r="F1483" s="911"/>
      <c r="G1483" s="765"/>
      <c r="H1483" s="791"/>
      <c r="I1483" s="791"/>
      <c r="J1483" s="791"/>
      <c r="K1483" s="791"/>
      <c r="L1483" s="766"/>
      <c r="M1483" s="750">
        <f t="shared" si="51"/>
        <v>0</v>
      </c>
    </row>
    <row r="1484" spans="1:16" hidden="1" x14ac:dyDescent="0.25">
      <c r="A1484" s="751" t="s">
        <v>1148</v>
      </c>
      <c r="B1484" s="751"/>
      <c r="C1484" s="745" t="s">
        <v>1149</v>
      </c>
      <c r="D1484" s="767">
        <f>SUM(E1484:H1484)</f>
        <v>0</v>
      </c>
      <c r="E1484" s="911"/>
      <c r="F1484" s="911"/>
      <c r="G1484" s="765"/>
      <c r="H1484" s="791"/>
      <c r="I1484" s="791"/>
      <c r="J1484" s="791"/>
      <c r="K1484" s="791"/>
      <c r="L1484" s="766"/>
      <c r="M1484" s="750">
        <f t="shared" si="51"/>
        <v>0</v>
      </c>
    </row>
    <row r="1485" spans="1:16" ht="18.75" hidden="1" x14ac:dyDescent="0.25">
      <c r="A1485" s="757"/>
      <c r="B1485" s="758"/>
      <c r="C1485" s="759" t="s">
        <v>168</v>
      </c>
      <c r="D1485" s="767">
        <f>SUM(E1485:H1485)</f>
        <v>0</v>
      </c>
      <c r="E1485" s="1049"/>
      <c r="F1485" s="1049"/>
      <c r="G1485" s="1193"/>
      <c r="H1485" s="1234"/>
      <c r="I1485" s="1234"/>
      <c r="J1485" s="1234"/>
      <c r="K1485" s="1234"/>
      <c r="L1485" s="1194"/>
      <c r="M1485" s="750">
        <f t="shared" si="51"/>
        <v>0</v>
      </c>
      <c r="O1485" s="1822" t="s">
        <v>54</v>
      </c>
      <c r="P1485" s="1822"/>
    </row>
    <row r="1486" spans="1:16" ht="18.75" x14ac:dyDescent="0.25">
      <c r="A1486" s="1050" t="s">
        <v>513</v>
      </c>
      <c r="B1486" s="1051">
        <v>9770</v>
      </c>
      <c r="C1486" s="1123" t="s">
        <v>305</v>
      </c>
      <c r="D1486" s="1089">
        <f>SUM(D1490:D1556)</f>
        <v>55573941</v>
      </c>
      <c r="E1486" s="929"/>
      <c r="F1486" s="966"/>
      <c r="G1486" s="966"/>
      <c r="H1486" s="966"/>
      <c r="I1486" s="966"/>
      <c r="J1486" s="966"/>
      <c r="K1486" s="966"/>
      <c r="L1486" s="930"/>
      <c r="M1486" s="750">
        <f t="shared" si="51"/>
        <v>55573941</v>
      </c>
      <c r="O1486" s="857" t="s">
        <v>1820</v>
      </c>
      <c r="P1486" s="851"/>
    </row>
    <row r="1487" spans="1:16" ht="18.75" x14ac:dyDescent="0.25">
      <c r="A1487" s="772"/>
      <c r="B1487" s="1124"/>
      <c r="C1487" s="1124"/>
      <c r="D1487" s="1099"/>
      <c r="E1487" s="931"/>
      <c r="F1487" s="1125"/>
      <c r="G1487" s="1125"/>
      <c r="H1487" s="1125"/>
      <c r="I1487" s="1125"/>
      <c r="J1487" s="1125"/>
      <c r="K1487" s="1125"/>
      <c r="L1487" s="932"/>
      <c r="M1487" s="750">
        <v>1</v>
      </c>
      <c r="O1487" s="857" t="s">
        <v>82</v>
      </c>
      <c r="P1487" s="857" t="s">
        <v>3</v>
      </c>
    </row>
    <row r="1488" spans="1:16" ht="18.75" x14ac:dyDescent="0.25">
      <c r="A1488" s="772"/>
      <c r="B1488" s="1124"/>
      <c r="C1488" s="1124"/>
      <c r="D1488" s="1099"/>
      <c r="E1488" s="931"/>
      <c r="F1488" s="1125"/>
      <c r="G1488" s="1125"/>
      <c r="H1488" s="1125"/>
      <c r="I1488" s="1125"/>
      <c r="J1488" s="1125"/>
      <c r="K1488" s="1125"/>
      <c r="L1488" s="932"/>
      <c r="M1488" s="750">
        <v>1</v>
      </c>
      <c r="O1488" s="857"/>
      <c r="P1488" s="851"/>
    </row>
    <row r="1489" spans="1:16" ht="18.75" x14ac:dyDescent="0.25">
      <c r="A1489" s="773"/>
      <c r="B1489" s="1126"/>
      <c r="C1489" s="1126"/>
      <c r="D1489" s="1098"/>
      <c r="E1489" s="931"/>
      <c r="F1489" s="1125"/>
      <c r="G1489" s="1125"/>
      <c r="H1489" s="1125"/>
      <c r="I1489" s="1125"/>
      <c r="J1489" s="1125"/>
      <c r="K1489" s="1125"/>
      <c r="L1489" s="932"/>
      <c r="M1489" s="750">
        <v>1</v>
      </c>
      <c r="O1489" s="858">
        <f>SUM(O1490:O1556)</f>
        <v>62406496</v>
      </c>
      <c r="P1489" s="858">
        <f>O1489-(D1486+D1274+D1133)</f>
        <v>0</v>
      </c>
    </row>
    <row r="1490" spans="1:16" x14ac:dyDescent="0.25">
      <c r="A1490" s="751" t="s">
        <v>526</v>
      </c>
      <c r="B1490" s="751"/>
      <c r="C1490" s="745" t="s">
        <v>1060</v>
      </c>
      <c r="D1490" s="914">
        <v>80000</v>
      </c>
      <c r="E1490" s="1730"/>
      <c r="F1490" s="1731"/>
      <c r="G1490" s="1731"/>
      <c r="H1490" s="1731"/>
      <c r="I1490" s="1175"/>
      <c r="J1490" s="1175"/>
      <c r="K1490" s="1175"/>
      <c r="L1490" s="1180"/>
      <c r="M1490" s="750">
        <f t="shared" si="51"/>
        <v>80000</v>
      </c>
      <c r="O1490" s="858">
        <f>' дод 5_1'!E18</f>
        <v>80000</v>
      </c>
      <c r="P1490" s="858" t="b">
        <f>O1490=D1490+D1277+D1137</f>
        <v>1</v>
      </c>
    </row>
    <row r="1491" spans="1:16" x14ac:dyDescent="0.25">
      <c r="A1491" s="751" t="s">
        <v>527</v>
      </c>
      <c r="B1491" s="751"/>
      <c r="C1491" s="745" t="s">
        <v>1069</v>
      </c>
      <c r="D1491" s="619">
        <f>100000+100000</f>
        <v>200000</v>
      </c>
      <c r="E1491" s="1730"/>
      <c r="F1491" s="1731"/>
      <c r="G1491" s="1731"/>
      <c r="H1491" s="1731"/>
      <c r="I1491" s="1175"/>
      <c r="J1491" s="1175"/>
      <c r="K1491" s="1175"/>
      <c r="L1491" s="1180"/>
      <c r="M1491" s="750">
        <f t="shared" si="51"/>
        <v>200000</v>
      </c>
      <c r="O1491" s="858">
        <f>' дод 5_1'!E29</f>
        <v>250000</v>
      </c>
      <c r="P1491" s="858" t="b">
        <f>O1491=D1491+D1278+D1138</f>
        <v>1</v>
      </c>
    </row>
    <row r="1492" spans="1:16" s="17" customFormat="1" hidden="1" x14ac:dyDescent="0.25">
      <c r="A1492" s="751" t="s">
        <v>528</v>
      </c>
      <c r="B1492" s="751"/>
      <c r="C1492" s="745" t="s">
        <v>1070</v>
      </c>
      <c r="D1492" s="762">
        <v>0</v>
      </c>
      <c r="E1492" s="1730"/>
      <c r="F1492" s="1731"/>
      <c r="G1492" s="1731"/>
      <c r="H1492" s="1731"/>
      <c r="I1492" s="1175"/>
      <c r="J1492" s="1175"/>
      <c r="K1492" s="1175"/>
      <c r="L1492" s="1180"/>
      <c r="M1492" s="750">
        <f t="shared" si="51"/>
        <v>0</v>
      </c>
      <c r="O1492" s="858">
        <f>' дод 5_1'!E40</f>
        <v>0</v>
      </c>
      <c r="P1492" s="858" t="b">
        <f t="shared" ref="P1492:P1537" si="52">O1492=D1492+D1279+D1139</f>
        <v>1</v>
      </c>
    </row>
    <row r="1493" spans="1:16" x14ac:dyDescent="0.25">
      <c r="A1493" s="751" t="s">
        <v>529</v>
      </c>
      <c r="B1493" s="751"/>
      <c r="C1493" s="745" t="s">
        <v>1071</v>
      </c>
      <c r="D1493" s="619">
        <f>190000</f>
        <v>190000</v>
      </c>
      <c r="E1493" s="1730"/>
      <c r="F1493" s="1731"/>
      <c r="G1493" s="1731"/>
      <c r="H1493" s="1731"/>
      <c r="I1493" s="1175"/>
      <c r="J1493" s="1175"/>
      <c r="K1493" s="1175"/>
      <c r="L1493" s="1180"/>
      <c r="M1493" s="750">
        <f t="shared" si="51"/>
        <v>190000</v>
      </c>
      <c r="O1493" s="858">
        <f>' дод 5_1'!E51</f>
        <v>190000</v>
      </c>
      <c r="P1493" s="858" t="b">
        <f t="shared" si="52"/>
        <v>1</v>
      </c>
    </row>
    <row r="1494" spans="1:16" x14ac:dyDescent="0.25">
      <c r="A1494" s="751" t="s">
        <v>530</v>
      </c>
      <c r="B1494" s="751"/>
      <c r="C1494" s="745" t="s">
        <v>1072</v>
      </c>
      <c r="D1494" s="914">
        <v>140000</v>
      </c>
      <c r="E1494" s="1730"/>
      <c r="F1494" s="1731"/>
      <c r="G1494" s="1731"/>
      <c r="H1494" s="1731"/>
      <c r="I1494" s="1175"/>
      <c r="J1494" s="1175"/>
      <c r="K1494" s="1175"/>
      <c r="L1494" s="1180"/>
      <c r="M1494" s="750">
        <f t="shared" ref="M1494:M1559" si="53">SUM(D1494:H1494)</f>
        <v>140000</v>
      </c>
      <c r="O1494" s="858">
        <f>' дод 5_1'!E62</f>
        <v>140000</v>
      </c>
      <c r="P1494" s="858" t="b">
        <f t="shared" si="52"/>
        <v>1</v>
      </c>
    </row>
    <row r="1495" spans="1:16" x14ac:dyDescent="0.25">
      <c r="A1495" s="751" t="s">
        <v>531</v>
      </c>
      <c r="B1495" s="751"/>
      <c r="C1495" s="745" t="s">
        <v>1073</v>
      </c>
      <c r="D1495" s="914">
        <v>50000</v>
      </c>
      <c r="E1495" s="1730"/>
      <c r="F1495" s="1731"/>
      <c r="G1495" s="1731"/>
      <c r="H1495" s="1731"/>
      <c r="I1495" s="1175"/>
      <c r="J1495" s="1175"/>
      <c r="K1495" s="1175"/>
      <c r="L1495" s="1180"/>
      <c r="M1495" s="750">
        <f t="shared" si="53"/>
        <v>50000</v>
      </c>
      <c r="O1495" s="858">
        <f>' дод 5_1'!E73</f>
        <v>50000</v>
      </c>
      <c r="P1495" s="858" t="b">
        <f t="shared" si="52"/>
        <v>1</v>
      </c>
    </row>
    <row r="1496" spans="1:16" x14ac:dyDescent="0.25">
      <c r="A1496" s="751" t="s">
        <v>532</v>
      </c>
      <c r="B1496" s="751"/>
      <c r="C1496" s="745" t="s">
        <v>1074</v>
      </c>
      <c r="D1496" s="914">
        <v>100000</v>
      </c>
      <c r="E1496" s="1730"/>
      <c r="F1496" s="1731"/>
      <c r="G1496" s="1731"/>
      <c r="H1496" s="1731"/>
      <c r="I1496" s="1175"/>
      <c r="J1496" s="1175"/>
      <c r="K1496" s="1175"/>
      <c r="L1496" s="1180"/>
      <c r="M1496" s="750">
        <f t="shared" si="53"/>
        <v>100000</v>
      </c>
      <c r="O1496" s="858">
        <f>' дод 5_1'!E84</f>
        <v>100000</v>
      </c>
      <c r="P1496" s="858" t="b">
        <f t="shared" si="52"/>
        <v>1</v>
      </c>
    </row>
    <row r="1497" spans="1:16" x14ac:dyDescent="0.25">
      <c r="A1497" s="751" t="s">
        <v>533</v>
      </c>
      <c r="B1497" s="751"/>
      <c r="C1497" s="745" t="s">
        <v>1075</v>
      </c>
      <c r="D1497" s="914">
        <f>150000+35000-70000+70000+41000</f>
        <v>226000</v>
      </c>
      <c r="E1497" s="1730"/>
      <c r="F1497" s="1731"/>
      <c r="G1497" s="1731"/>
      <c r="H1497" s="1731"/>
      <c r="I1497" s="1175"/>
      <c r="J1497" s="1175"/>
      <c r="K1497" s="1175"/>
      <c r="L1497" s="1180"/>
      <c r="M1497" s="750">
        <f t="shared" si="53"/>
        <v>226000</v>
      </c>
      <c r="O1497" s="858">
        <f>' дод 5_1'!E95</f>
        <v>226000</v>
      </c>
      <c r="P1497" s="858" t="b">
        <f t="shared" si="52"/>
        <v>1</v>
      </c>
    </row>
    <row r="1498" spans="1:16" hidden="1" x14ac:dyDescent="0.25">
      <c r="A1498" s="751" t="s">
        <v>534</v>
      </c>
      <c r="B1498" s="751"/>
      <c r="C1498" s="745" t="s">
        <v>1076</v>
      </c>
      <c r="D1498" s="762">
        <v>0</v>
      </c>
      <c r="E1498" s="1730"/>
      <c r="F1498" s="1731"/>
      <c r="G1498" s="1731"/>
      <c r="H1498" s="1731"/>
      <c r="I1498" s="1175"/>
      <c r="J1498" s="1175"/>
      <c r="K1498" s="1175"/>
      <c r="L1498" s="1180"/>
      <c r="M1498" s="750">
        <f t="shared" si="53"/>
        <v>0</v>
      </c>
      <c r="O1498" s="858">
        <f>' дод 5_1'!E106</f>
        <v>0</v>
      </c>
      <c r="P1498" s="858" t="b">
        <f t="shared" si="52"/>
        <v>1</v>
      </c>
    </row>
    <row r="1499" spans="1:16" hidden="1" x14ac:dyDescent="0.25">
      <c r="A1499" s="751" t="s">
        <v>535</v>
      </c>
      <c r="B1499" s="751"/>
      <c r="C1499" s="745" t="s">
        <v>1077</v>
      </c>
      <c r="D1499" s="762">
        <v>0</v>
      </c>
      <c r="E1499" s="1730"/>
      <c r="F1499" s="1731"/>
      <c r="G1499" s="1731"/>
      <c r="H1499" s="1731"/>
      <c r="I1499" s="1175"/>
      <c r="J1499" s="1175"/>
      <c r="K1499" s="1175"/>
      <c r="L1499" s="1180"/>
      <c r="M1499" s="750">
        <f t="shared" si="53"/>
        <v>0</v>
      </c>
      <c r="O1499" s="858">
        <f>' дод 5_1'!E117</f>
        <v>0</v>
      </c>
      <c r="P1499" s="858" t="b">
        <f t="shared" si="52"/>
        <v>1</v>
      </c>
    </row>
    <row r="1500" spans="1:16" x14ac:dyDescent="0.25">
      <c r="A1500" s="751" t="s">
        <v>536</v>
      </c>
      <c r="B1500" s="751"/>
      <c r="C1500" s="745" t="s">
        <v>1078</v>
      </c>
      <c r="D1500" s="914">
        <v>150000</v>
      </c>
      <c r="E1500" s="1730"/>
      <c r="F1500" s="1731"/>
      <c r="G1500" s="1731"/>
      <c r="H1500" s="1731"/>
      <c r="I1500" s="1175"/>
      <c r="J1500" s="1175"/>
      <c r="K1500" s="1175"/>
      <c r="L1500" s="1180"/>
      <c r="M1500" s="750">
        <f t="shared" si="53"/>
        <v>150000</v>
      </c>
      <c r="O1500" s="858">
        <f>' дод 5_1'!E133</f>
        <v>150000</v>
      </c>
      <c r="P1500" s="858" t="b">
        <f t="shared" si="52"/>
        <v>1</v>
      </c>
    </row>
    <row r="1501" spans="1:16" x14ac:dyDescent="0.25">
      <c r="A1501" s="751" t="s">
        <v>537</v>
      </c>
      <c r="B1501" s="751"/>
      <c r="C1501" s="745" t="s">
        <v>1079</v>
      </c>
      <c r="D1501" s="619">
        <f>200000-100000+100000</f>
        <v>200000</v>
      </c>
      <c r="E1501" s="1730"/>
      <c r="F1501" s="1731"/>
      <c r="G1501" s="1731"/>
      <c r="H1501" s="1731"/>
      <c r="I1501" s="1175"/>
      <c r="J1501" s="1175"/>
      <c r="K1501" s="1175"/>
      <c r="L1501" s="1180"/>
      <c r="M1501" s="750">
        <f t="shared" si="53"/>
        <v>200000</v>
      </c>
      <c r="O1501" s="858">
        <f>' дод 5_1'!E159</f>
        <v>236000</v>
      </c>
      <c r="P1501" s="858" t="b">
        <f t="shared" si="52"/>
        <v>1</v>
      </c>
    </row>
    <row r="1502" spans="1:16" x14ac:dyDescent="0.25">
      <c r="A1502" s="751" t="s">
        <v>538</v>
      </c>
      <c r="B1502" s="751"/>
      <c r="C1502" s="745" t="s">
        <v>1080</v>
      </c>
      <c r="D1502" s="914">
        <f>1700000-350000-500000+500000+340000+160000+347042+246912</f>
        <v>2443954</v>
      </c>
      <c r="E1502" s="1730"/>
      <c r="F1502" s="1731"/>
      <c r="G1502" s="1731"/>
      <c r="H1502" s="1731"/>
      <c r="I1502" s="1175"/>
      <c r="J1502" s="1175"/>
      <c r="K1502" s="1175"/>
      <c r="L1502" s="1180"/>
      <c r="M1502" s="750">
        <f t="shared" si="53"/>
        <v>2443954</v>
      </c>
      <c r="O1502" s="858">
        <f>' дод 5_1'!E219</f>
        <v>3028642</v>
      </c>
      <c r="P1502" s="858" t="b">
        <f>O1502=D1502+D1289+D1149</f>
        <v>1</v>
      </c>
    </row>
    <row r="1503" spans="1:16" hidden="1" x14ac:dyDescent="0.25">
      <c r="A1503" s="751" t="s">
        <v>539</v>
      </c>
      <c r="B1503" s="751"/>
      <c r="C1503" s="745" t="s">
        <v>1081</v>
      </c>
      <c r="D1503" s="762">
        <v>0</v>
      </c>
      <c r="E1503" s="1730"/>
      <c r="F1503" s="1731"/>
      <c r="G1503" s="1731"/>
      <c r="H1503" s="1731"/>
      <c r="I1503" s="1175"/>
      <c r="J1503" s="1175"/>
      <c r="K1503" s="1175"/>
      <c r="L1503" s="1180"/>
      <c r="M1503" s="750">
        <f t="shared" si="53"/>
        <v>0</v>
      </c>
      <c r="O1503" s="858">
        <f>' дод 5_1'!E230</f>
        <v>0</v>
      </c>
      <c r="P1503" s="858" t="b">
        <f t="shared" si="52"/>
        <v>1</v>
      </c>
    </row>
    <row r="1504" spans="1:16" x14ac:dyDescent="0.25">
      <c r="A1504" s="751" t="s">
        <v>540</v>
      </c>
      <c r="B1504" s="751"/>
      <c r="C1504" s="745" t="s">
        <v>1082</v>
      </c>
      <c r="D1504" s="914">
        <f>50000</f>
        <v>50000</v>
      </c>
      <c r="E1504" s="1730"/>
      <c r="F1504" s="1731"/>
      <c r="G1504" s="1731"/>
      <c r="H1504" s="1731"/>
      <c r="I1504" s="1175"/>
      <c r="J1504" s="1175"/>
      <c r="K1504" s="1175"/>
      <c r="L1504" s="1180"/>
      <c r="M1504" s="750">
        <f t="shared" si="53"/>
        <v>50000</v>
      </c>
      <c r="O1504" s="858">
        <f>' дод 5_1'!E241</f>
        <v>250000</v>
      </c>
      <c r="P1504" s="858" t="b">
        <f t="shared" si="52"/>
        <v>1</v>
      </c>
    </row>
    <row r="1505" spans="1:16" x14ac:dyDescent="0.25">
      <c r="A1505" s="751" t="s">
        <v>541</v>
      </c>
      <c r="B1505" s="751"/>
      <c r="C1505" s="745" t="s">
        <v>1083</v>
      </c>
      <c r="D1505" s="762">
        <v>10000</v>
      </c>
      <c r="E1505" s="1730"/>
      <c r="F1505" s="1731"/>
      <c r="G1505" s="1731"/>
      <c r="H1505" s="1731"/>
      <c r="I1505" s="1175"/>
      <c r="J1505" s="1175"/>
      <c r="K1505" s="1175"/>
      <c r="L1505" s="1180"/>
      <c r="M1505" s="750">
        <f t="shared" si="53"/>
        <v>10000</v>
      </c>
      <c r="O1505" s="858">
        <f>' дод 5_1'!E252</f>
        <v>10000</v>
      </c>
      <c r="P1505" s="858" t="b">
        <f t="shared" si="52"/>
        <v>1</v>
      </c>
    </row>
    <row r="1506" spans="1:16" x14ac:dyDescent="0.25">
      <c r="A1506" s="751" t="s">
        <v>542</v>
      </c>
      <c r="B1506" s="751"/>
      <c r="C1506" s="745" t="s">
        <v>1084</v>
      </c>
      <c r="D1506" s="914">
        <f>210000+804200</f>
        <v>1014200</v>
      </c>
      <c r="E1506" s="1730"/>
      <c r="F1506" s="1731"/>
      <c r="G1506" s="1731"/>
      <c r="H1506" s="1731"/>
      <c r="I1506" s="1175"/>
      <c r="J1506" s="1175"/>
      <c r="K1506" s="1175"/>
      <c r="L1506" s="1180"/>
      <c r="M1506" s="750">
        <f t="shared" si="53"/>
        <v>1014200</v>
      </c>
      <c r="O1506" s="858">
        <f>' дод 5_1'!E289</f>
        <v>1231494</v>
      </c>
      <c r="P1506" s="858" t="b">
        <f t="shared" si="52"/>
        <v>1</v>
      </c>
    </row>
    <row r="1507" spans="1:16" x14ac:dyDescent="0.25">
      <c r="A1507" s="751" t="s">
        <v>543</v>
      </c>
      <c r="B1507" s="751"/>
      <c r="C1507" s="745" t="s">
        <v>1085</v>
      </c>
      <c r="D1507" s="619">
        <f>240000-140000</f>
        <v>100000</v>
      </c>
      <c r="E1507" s="1730"/>
      <c r="F1507" s="1731"/>
      <c r="G1507" s="1731"/>
      <c r="H1507" s="1731"/>
      <c r="I1507" s="1175"/>
      <c r="J1507" s="1175"/>
      <c r="K1507" s="1175"/>
      <c r="L1507" s="1180"/>
      <c r="M1507" s="750">
        <f t="shared" si="53"/>
        <v>100000</v>
      </c>
      <c r="O1507" s="858">
        <f>' дод 5_1'!E300</f>
        <v>224980</v>
      </c>
      <c r="P1507" s="858" t="b">
        <f t="shared" si="52"/>
        <v>1</v>
      </c>
    </row>
    <row r="1508" spans="1:16" x14ac:dyDescent="0.25">
      <c r="A1508" s="751" t="s">
        <v>544</v>
      </c>
      <c r="B1508" s="751"/>
      <c r="C1508" s="745" t="s">
        <v>1086</v>
      </c>
      <c r="D1508" s="914">
        <f>540000+400000+35000+42790</f>
        <v>1017790</v>
      </c>
      <c r="E1508" s="1730"/>
      <c r="F1508" s="1731"/>
      <c r="G1508" s="1731"/>
      <c r="H1508" s="1731"/>
      <c r="I1508" s="1175"/>
      <c r="J1508" s="1175"/>
      <c r="K1508" s="1175"/>
      <c r="L1508" s="1180"/>
      <c r="M1508" s="750">
        <f t="shared" si="53"/>
        <v>1017790</v>
      </c>
      <c r="O1508" s="858">
        <f>' дод 5_1'!E311</f>
        <v>1017790</v>
      </c>
      <c r="P1508" s="858" t="b">
        <f t="shared" si="52"/>
        <v>1</v>
      </c>
    </row>
    <row r="1509" spans="1:16" x14ac:dyDescent="0.25">
      <c r="A1509" s="751" t="s">
        <v>545</v>
      </c>
      <c r="B1509" s="751"/>
      <c r="C1509" s="745" t="s">
        <v>1087</v>
      </c>
      <c r="D1509" s="914">
        <f>840000-500000+500000+135000</f>
        <v>975000</v>
      </c>
      <c r="E1509" s="1730"/>
      <c r="F1509" s="1731"/>
      <c r="G1509" s="1731"/>
      <c r="H1509" s="1731"/>
      <c r="I1509" s="1175"/>
      <c r="J1509" s="1175"/>
      <c r="K1509" s="1175"/>
      <c r="L1509" s="1180"/>
      <c r="M1509" s="750">
        <f t="shared" si="53"/>
        <v>975000</v>
      </c>
      <c r="O1509" s="858">
        <f>' дод 5_1'!E331</f>
        <v>995000</v>
      </c>
      <c r="P1509" s="858" t="b">
        <f t="shared" si="52"/>
        <v>1</v>
      </c>
    </row>
    <row r="1510" spans="1:16" x14ac:dyDescent="0.25">
      <c r="A1510" s="751" t="s">
        <v>546</v>
      </c>
      <c r="B1510" s="751"/>
      <c r="C1510" s="745" t="s">
        <v>1088</v>
      </c>
      <c r="D1510" s="619">
        <v>100000</v>
      </c>
      <c r="E1510" s="1730"/>
      <c r="F1510" s="1731"/>
      <c r="G1510" s="1731"/>
      <c r="H1510" s="1731"/>
      <c r="I1510" s="1175"/>
      <c r="J1510" s="1175"/>
      <c r="K1510" s="1175"/>
      <c r="L1510" s="1180"/>
      <c r="M1510" s="750">
        <f t="shared" si="53"/>
        <v>100000</v>
      </c>
      <c r="O1510" s="858">
        <f>' дод 5_1'!E342</f>
        <v>100000</v>
      </c>
      <c r="P1510" s="858" t="b">
        <f t="shared" si="52"/>
        <v>1</v>
      </c>
    </row>
    <row r="1511" spans="1:16" x14ac:dyDescent="0.25">
      <c r="A1511" s="751" t="s">
        <v>547</v>
      </c>
      <c r="B1511" s="751"/>
      <c r="C1511" s="745" t="s">
        <v>1089</v>
      </c>
      <c r="D1511" s="619">
        <v>63800</v>
      </c>
      <c r="E1511" s="1730"/>
      <c r="F1511" s="1731"/>
      <c r="G1511" s="1731"/>
      <c r="H1511" s="1731"/>
      <c r="I1511" s="1175"/>
      <c r="J1511" s="1175"/>
      <c r="K1511" s="1175"/>
      <c r="L1511" s="1180"/>
      <c r="M1511" s="750">
        <f t="shared" si="53"/>
        <v>63800</v>
      </c>
      <c r="O1511" s="858">
        <f>' дод 5_1'!E353</f>
        <v>63800</v>
      </c>
      <c r="P1511" s="858" t="b">
        <f t="shared" si="52"/>
        <v>1</v>
      </c>
    </row>
    <row r="1512" spans="1:16" x14ac:dyDescent="0.25">
      <c r="A1512" s="751" t="s">
        <v>548</v>
      </c>
      <c r="B1512" s="751"/>
      <c r="C1512" s="745" t="s">
        <v>1090</v>
      </c>
      <c r="D1512" s="914">
        <v>525000</v>
      </c>
      <c r="E1512" s="1730"/>
      <c r="F1512" s="1731"/>
      <c r="G1512" s="1731"/>
      <c r="H1512" s="1731"/>
      <c r="I1512" s="1175"/>
      <c r="J1512" s="1175"/>
      <c r="K1512" s="1175"/>
      <c r="L1512" s="1180"/>
      <c r="M1512" s="750">
        <f t="shared" si="53"/>
        <v>525000</v>
      </c>
      <c r="O1512" s="858">
        <f>' дод 5_1'!E364</f>
        <v>525000</v>
      </c>
      <c r="P1512" s="858" t="b">
        <f t="shared" si="52"/>
        <v>1</v>
      </c>
    </row>
    <row r="1513" spans="1:16" x14ac:dyDescent="0.25">
      <c r="A1513" s="751" t="s">
        <v>549</v>
      </c>
      <c r="B1513" s="751"/>
      <c r="C1513" s="745" t="s">
        <v>1091</v>
      </c>
      <c r="D1513" s="914">
        <f>150000+99900</f>
        <v>249900</v>
      </c>
      <c r="E1513" s="1730"/>
      <c r="F1513" s="1731"/>
      <c r="G1513" s="1731"/>
      <c r="H1513" s="1731"/>
      <c r="I1513" s="1175"/>
      <c r="J1513" s="1175"/>
      <c r="K1513" s="1175"/>
      <c r="L1513" s="1180"/>
      <c r="M1513" s="750">
        <f t="shared" si="53"/>
        <v>249900</v>
      </c>
      <c r="O1513" s="858">
        <f>' дод 5_1'!E375</f>
        <v>249900</v>
      </c>
      <c r="P1513" s="858" t="b">
        <f t="shared" si="52"/>
        <v>1</v>
      </c>
    </row>
    <row r="1514" spans="1:16" x14ac:dyDescent="0.25">
      <c r="A1514" s="751" t="s">
        <v>550</v>
      </c>
      <c r="B1514" s="751"/>
      <c r="C1514" s="745" t="s">
        <v>1092</v>
      </c>
      <c r="D1514" s="762">
        <f>40000+20000</f>
        <v>60000</v>
      </c>
      <c r="E1514" s="1730"/>
      <c r="F1514" s="1731"/>
      <c r="G1514" s="1731"/>
      <c r="H1514" s="1731"/>
      <c r="I1514" s="1175"/>
      <c r="J1514" s="1175"/>
      <c r="K1514" s="1175"/>
      <c r="L1514" s="1180"/>
      <c r="M1514" s="750">
        <f t="shared" si="53"/>
        <v>60000</v>
      </c>
      <c r="O1514" s="858">
        <f>' дод 5_1'!E386</f>
        <v>160000</v>
      </c>
      <c r="P1514" s="858" t="b">
        <f t="shared" si="52"/>
        <v>1</v>
      </c>
    </row>
    <row r="1515" spans="1:16" hidden="1" x14ac:dyDescent="0.25">
      <c r="A1515" s="751" t="s">
        <v>551</v>
      </c>
      <c r="B1515" s="751"/>
      <c r="C1515" s="745" t="s">
        <v>1093</v>
      </c>
      <c r="D1515" s="762">
        <v>0</v>
      </c>
      <c r="E1515" s="1730"/>
      <c r="F1515" s="1731"/>
      <c r="G1515" s="1731"/>
      <c r="H1515" s="1731"/>
      <c r="I1515" s="1175"/>
      <c r="J1515" s="1175"/>
      <c r="K1515" s="1175"/>
      <c r="L1515" s="1180"/>
      <c r="M1515" s="750">
        <f t="shared" si="53"/>
        <v>0</v>
      </c>
      <c r="O1515" s="858">
        <f>' дод 5_1'!E397</f>
        <v>0</v>
      </c>
      <c r="P1515" s="858" t="b">
        <f t="shared" si="52"/>
        <v>1</v>
      </c>
    </row>
    <row r="1516" spans="1:16" x14ac:dyDescent="0.25">
      <c r="A1516" s="751" t="s">
        <v>552</v>
      </c>
      <c r="B1516" s="751"/>
      <c r="C1516" s="745" t="s">
        <v>1094</v>
      </c>
      <c r="D1516" s="914">
        <f>60000+250000</f>
        <v>310000</v>
      </c>
      <c r="E1516" s="1730"/>
      <c r="F1516" s="1731"/>
      <c r="G1516" s="1731"/>
      <c r="H1516" s="1731"/>
      <c r="I1516" s="1175"/>
      <c r="J1516" s="1175"/>
      <c r="K1516" s="1175"/>
      <c r="L1516" s="1180"/>
      <c r="M1516" s="750">
        <f t="shared" si="53"/>
        <v>310000</v>
      </c>
      <c r="O1516" s="858">
        <f>' дод 5_1'!E418</f>
        <v>359900</v>
      </c>
      <c r="P1516" s="858" t="b">
        <f t="shared" si="52"/>
        <v>1</v>
      </c>
    </row>
    <row r="1517" spans="1:16" x14ac:dyDescent="0.25">
      <c r="A1517" s="751" t="s">
        <v>553</v>
      </c>
      <c r="B1517" s="751"/>
      <c r="C1517" s="745" t="s">
        <v>1095</v>
      </c>
      <c r="D1517" s="914">
        <f>440000+263800</f>
        <v>703800</v>
      </c>
      <c r="E1517" s="1730"/>
      <c r="F1517" s="1731"/>
      <c r="G1517" s="1731"/>
      <c r="H1517" s="1731"/>
      <c r="I1517" s="1175"/>
      <c r="J1517" s="1175"/>
      <c r="K1517" s="1175"/>
      <c r="L1517" s="1180"/>
      <c r="M1517" s="750">
        <f t="shared" si="53"/>
        <v>703800</v>
      </c>
      <c r="O1517" s="857">
        <f>' дод 5_1'!E442</f>
        <v>931044</v>
      </c>
      <c r="P1517" s="858" t="b">
        <f t="shared" si="52"/>
        <v>1</v>
      </c>
    </row>
    <row r="1518" spans="1:16" x14ac:dyDescent="0.25">
      <c r="A1518" s="751" t="s">
        <v>554</v>
      </c>
      <c r="B1518" s="751"/>
      <c r="C1518" s="745" t="s">
        <v>1096</v>
      </c>
      <c r="D1518" s="914">
        <f>1100000+280000+340000</f>
        <v>1720000</v>
      </c>
      <c r="E1518" s="1730"/>
      <c r="F1518" s="1731"/>
      <c r="G1518" s="1731"/>
      <c r="H1518" s="1731"/>
      <c r="I1518" s="1175"/>
      <c r="J1518" s="1175"/>
      <c r="K1518" s="1175"/>
      <c r="L1518" s="1180"/>
      <c r="M1518" s="750">
        <f t="shared" si="53"/>
        <v>1720000</v>
      </c>
      <c r="O1518" s="858">
        <f>' дод 5_1'!E473</f>
        <v>1848000</v>
      </c>
      <c r="P1518" s="858" t="b">
        <f t="shared" si="52"/>
        <v>1</v>
      </c>
    </row>
    <row r="1519" spans="1:16" x14ac:dyDescent="0.25">
      <c r="A1519" s="751" t="s">
        <v>555</v>
      </c>
      <c r="B1519" s="751"/>
      <c r="C1519" s="745" t="s">
        <v>1097</v>
      </c>
      <c r="D1519" s="914">
        <f>1150000-1050000+1050000+300000-200000-100000+200000+100000+29000</f>
        <v>1479000</v>
      </c>
      <c r="E1519" s="1730"/>
      <c r="F1519" s="1731"/>
      <c r="G1519" s="1731"/>
      <c r="H1519" s="1731"/>
      <c r="I1519" s="1175"/>
      <c r="J1519" s="1175"/>
      <c r="K1519" s="1175"/>
      <c r="L1519" s="1180"/>
      <c r="M1519" s="750">
        <f t="shared" si="53"/>
        <v>1479000</v>
      </c>
      <c r="O1519" s="858">
        <f>' дод 5_1'!E488</f>
        <v>1580044</v>
      </c>
      <c r="P1519" s="858" t="b">
        <f t="shared" si="52"/>
        <v>1</v>
      </c>
    </row>
    <row r="1520" spans="1:16" x14ac:dyDescent="0.25">
      <c r="A1520" s="751" t="s">
        <v>556</v>
      </c>
      <c r="B1520" s="751"/>
      <c r="C1520" s="745" t="s">
        <v>1098</v>
      </c>
      <c r="D1520" s="914">
        <f>75000</f>
        <v>75000</v>
      </c>
      <c r="E1520" s="1730"/>
      <c r="F1520" s="1731"/>
      <c r="G1520" s="1731"/>
      <c r="H1520" s="1731"/>
      <c r="I1520" s="1175"/>
      <c r="J1520" s="1175"/>
      <c r="K1520" s="1175"/>
      <c r="L1520" s="1180"/>
      <c r="M1520" s="750">
        <f t="shared" si="53"/>
        <v>75000</v>
      </c>
      <c r="O1520" s="858">
        <f>' дод 5_1'!E499</f>
        <v>135000</v>
      </c>
      <c r="P1520" s="858" t="b">
        <f t="shared" si="52"/>
        <v>1</v>
      </c>
    </row>
    <row r="1521" spans="1:16" x14ac:dyDescent="0.25">
      <c r="A1521" s="751" t="s">
        <v>557</v>
      </c>
      <c r="B1521" s="751"/>
      <c r="C1521" s="745" t="s">
        <v>1099</v>
      </c>
      <c r="D1521" s="914">
        <f>440000+463800-40000+27184+108956</f>
        <v>999940</v>
      </c>
      <c r="E1521" s="1730"/>
      <c r="F1521" s="1731"/>
      <c r="G1521" s="1731"/>
      <c r="H1521" s="1731"/>
      <c r="I1521" s="1175"/>
      <c r="J1521" s="1175"/>
      <c r="K1521" s="1175"/>
      <c r="L1521" s="1180"/>
      <c r="M1521" s="750">
        <f t="shared" si="53"/>
        <v>999940</v>
      </c>
      <c r="O1521" s="858">
        <f>' дод 5_1'!E523</f>
        <v>1090984</v>
      </c>
      <c r="P1521" s="858" t="b">
        <f t="shared" si="52"/>
        <v>1</v>
      </c>
    </row>
    <row r="1522" spans="1:16" x14ac:dyDescent="0.25">
      <c r="A1522" s="751" t="s">
        <v>558</v>
      </c>
      <c r="B1522" s="751"/>
      <c r="C1522" s="745" t="s">
        <v>1100</v>
      </c>
      <c r="D1522" s="914">
        <f>1148000+151811+567490-300000-69120+69120+144780</f>
        <v>1712081</v>
      </c>
      <c r="E1522" s="1730"/>
      <c r="F1522" s="1731"/>
      <c r="G1522" s="1731"/>
      <c r="H1522" s="1731"/>
      <c r="I1522" s="1175"/>
      <c r="J1522" s="1175"/>
      <c r="K1522" s="1175"/>
      <c r="L1522" s="1180"/>
      <c r="M1522" s="750">
        <f t="shared" si="53"/>
        <v>1712081</v>
      </c>
      <c r="O1522" s="858">
        <f>' дод 5_1'!E563</f>
        <v>1752081</v>
      </c>
      <c r="P1522" s="858" t="b">
        <f t="shared" si="52"/>
        <v>1</v>
      </c>
    </row>
    <row r="1523" spans="1:16" hidden="1" x14ac:dyDescent="0.25">
      <c r="A1523" s="751" t="s">
        <v>559</v>
      </c>
      <c r="B1523" s="751"/>
      <c r="C1523" s="745" t="s">
        <v>1101</v>
      </c>
      <c r="D1523" s="914"/>
      <c r="E1523" s="1730"/>
      <c r="F1523" s="1731"/>
      <c r="G1523" s="1731"/>
      <c r="H1523" s="1731"/>
      <c r="I1523" s="1175"/>
      <c r="J1523" s="1175"/>
      <c r="K1523" s="1175"/>
      <c r="L1523" s="1180"/>
      <c r="M1523" s="750">
        <f t="shared" si="53"/>
        <v>0</v>
      </c>
      <c r="O1523" s="858">
        <f>' дод 5_1'!E574</f>
        <v>18000</v>
      </c>
      <c r="P1523" s="858" t="b">
        <f t="shared" si="52"/>
        <v>1</v>
      </c>
    </row>
    <row r="1524" spans="1:16" hidden="1" x14ac:dyDescent="0.25">
      <c r="A1524" s="751" t="s">
        <v>560</v>
      </c>
      <c r="B1524" s="751"/>
      <c r="C1524" s="745" t="s">
        <v>1102</v>
      </c>
      <c r="D1524" s="762">
        <v>0</v>
      </c>
      <c r="E1524" s="1730"/>
      <c r="F1524" s="1731"/>
      <c r="G1524" s="1731"/>
      <c r="H1524" s="1731"/>
      <c r="I1524" s="1175"/>
      <c r="J1524" s="1175"/>
      <c r="K1524" s="1175"/>
      <c r="L1524" s="1180"/>
      <c r="M1524" s="750">
        <f t="shared" si="53"/>
        <v>0</v>
      </c>
      <c r="O1524" s="858">
        <f>' дод 5_1'!E585</f>
        <v>0</v>
      </c>
      <c r="P1524" s="858" t="b">
        <f t="shared" si="52"/>
        <v>1</v>
      </c>
    </row>
    <row r="1525" spans="1:16" hidden="1" x14ac:dyDescent="0.25">
      <c r="A1525" s="751" t="s">
        <v>561</v>
      </c>
      <c r="B1525" s="751"/>
      <c r="C1525" s="745" t="s">
        <v>1103</v>
      </c>
      <c r="D1525" s="762">
        <v>0</v>
      </c>
      <c r="E1525" s="1730"/>
      <c r="F1525" s="1731"/>
      <c r="G1525" s="1731"/>
      <c r="H1525" s="1731"/>
      <c r="I1525" s="1175"/>
      <c r="J1525" s="1175"/>
      <c r="K1525" s="1175"/>
      <c r="L1525" s="1180"/>
      <c r="M1525" s="750">
        <f t="shared" si="53"/>
        <v>0</v>
      </c>
      <c r="O1525" s="858">
        <f>' дод 5_1'!E601</f>
        <v>687600</v>
      </c>
      <c r="P1525" s="858" t="b">
        <f t="shared" si="52"/>
        <v>1</v>
      </c>
    </row>
    <row r="1526" spans="1:16" x14ac:dyDescent="0.25">
      <c r="A1526" s="751" t="s">
        <v>562</v>
      </c>
      <c r="B1526" s="751"/>
      <c r="C1526" s="745" t="s">
        <v>1104</v>
      </c>
      <c r="D1526" s="914">
        <f>840000</f>
        <v>840000</v>
      </c>
      <c r="E1526" s="1730"/>
      <c r="F1526" s="1731"/>
      <c r="G1526" s="1731"/>
      <c r="H1526" s="1731"/>
      <c r="I1526" s="1175"/>
      <c r="J1526" s="1175"/>
      <c r="K1526" s="1175"/>
      <c r="L1526" s="1180"/>
      <c r="M1526" s="750">
        <f t="shared" si="53"/>
        <v>840000</v>
      </c>
      <c r="O1526" s="858">
        <f>' дод 5_1'!E638</f>
        <v>1022000</v>
      </c>
      <c r="P1526" s="858" t="b">
        <f t="shared" si="52"/>
        <v>1</v>
      </c>
    </row>
    <row r="1527" spans="1:16" x14ac:dyDescent="0.25">
      <c r="A1527" s="751" t="s">
        <v>563</v>
      </c>
      <c r="B1527" s="751"/>
      <c r="C1527" s="745" t="s">
        <v>1105</v>
      </c>
      <c r="D1527" s="914">
        <f>100000+370000-35000+100000</f>
        <v>535000</v>
      </c>
      <c r="E1527" s="1730"/>
      <c r="F1527" s="1731"/>
      <c r="G1527" s="1731"/>
      <c r="H1527" s="1731"/>
      <c r="I1527" s="1175"/>
      <c r="J1527" s="1175"/>
      <c r="K1527" s="1175"/>
      <c r="L1527" s="1180"/>
      <c r="M1527" s="750">
        <f t="shared" si="53"/>
        <v>535000</v>
      </c>
      <c r="O1527" s="858">
        <f>' дод 5_1'!E663</f>
        <v>535000</v>
      </c>
      <c r="P1527" s="858" t="b">
        <f t="shared" si="52"/>
        <v>1</v>
      </c>
    </row>
    <row r="1528" spans="1:16" x14ac:dyDescent="0.25">
      <c r="A1528" s="751" t="s">
        <v>564</v>
      </c>
      <c r="B1528" s="751"/>
      <c r="C1528" s="745" t="s">
        <v>1106</v>
      </c>
      <c r="D1528" s="914">
        <f>40000+250000+28956</f>
        <v>318956</v>
      </c>
      <c r="E1528" s="1730"/>
      <c r="F1528" s="1731"/>
      <c r="G1528" s="1731"/>
      <c r="H1528" s="1731"/>
      <c r="I1528" s="1175"/>
      <c r="J1528" s="1175"/>
      <c r="K1528" s="1175"/>
      <c r="L1528" s="1180"/>
      <c r="M1528" s="750">
        <f t="shared" si="53"/>
        <v>318956</v>
      </c>
      <c r="O1528" s="858">
        <f>' дод 5_1'!E682</f>
        <v>473106</v>
      </c>
      <c r="P1528" s="858" t="b">
        <f t="shared" si="52"/>
        <v>1</v>
      </c>
    </row>
    <row r="1529" spans="1:16" x14ac:dyDescent="0.25">
      <c r="A1529" s="751" t="s">
        <v>565</v>
      </c>
      <c r="B1529" s="751"/>
      <c r="C1529" s="745" t="s">
        <v>1107</v>
      </c>
      <c r="D1529" s="914">
        <f>500000+55000+552800</f>
        <v>1107800</v>
      </c>
      <c r="E1529" s="1730"/>
      <c r="F1529" s="1731"/>
      <c r="G1529" s="1731"/>
      <c r="H1529" s="1731"/>
      <c r="I1529" s="1175"/>
      <c r="J1529" s="1175"/>
      <c r="K1529" s="1175"/>
      <c r="L1529" s="1180"/>
      <c r="M1529" s="750">
        <f t="shared" si="53"/>
        <v>1107800</v>
      </c>
      <c r="O1529" s="858">
        <f>' дод 5_1'!E731</f>
        <v>1284694</v>
      </c>
      <c r="P1529" s="858" t="b">
        <f t="shared" si="52"/>
        <v>1</v>
      </c>
    </row>
    <row r="1530" spans="1:16" x14ac:dyDescent="0.25">
      <c r="A1530" s="751" t="s">
        <v>566</v>
      </c>
      <c r="B1530" s="751"/>
      <c r="C1530" s="745" t="s">
        <v>1108</v>
      </c>
      <c r="D1530" s="914">
        <f>140000</f>
        <v>140000</v>
      </c>
      <c r="E1530" s="1730"/>
      <c r="F1530" s="1731"/>
      <c r="G1530" s="1731"/>
      <c r="H1530" s="1731"/>
      <c r="I1530" s="1175"/>
      <c r="J1530" s="1175"/>
      <c r="K1530" s="1175"/>
      <c r="L1530" s="1180"/>
      <c r="M1530" s="750">
        <f t="shared" si="53"/>
        <v>140000</v>
      </c>
      <c r="O1530" s="858">
        <f>' дод 5_1'!E742</f>
        <v>204656</v>
      </c>
      <c r="P1530" s="858" t="b">
        <f t="shared" si="52"/>
        <v>1</v>
      </c>
    </row>
    <row r="1531" spans="1:16" x14ac:dyDescent="0.25">
      <c r="A1531" s="751" t="s">
        <v>567</v>
      </c>
      <c r="B1531" s="751"/>
      <c r="C1531" s="745" t="s">
        <v>1109</v>
      </c>
      <c r="D1531" s="914">
        <f>80000</f>
        <v>80000</v>
      </c>
      <c r="E1531" s="1730"/>
      <c r="F1531" s="1731"/>
      <c r="G1531" s="1731"/>
      <c r="H1531" s="1731"/>
      <c r="I1531" s="1175"/>
      <c r="J1531" s="1175"/>
      <c r="K1531" s="1175"/>
      <c r="L1531" s="1180"/>
      <c r="M1531" s="750">
        <f t="shared" si="53"/>
        <v>80000</v>
      </c>
      <c r="O1531" s="858">
        <f>' дод 5_1'!E753</f>
        <v>129950</v>
      </c>
      <c r="P1531" s="858" t="b">
        <f t="shared" si="52"/>
        <v>1</v>
      </c>
    </row>
    <row r="1532" spans="1:16" x14ac:dyDescent="0.25">
      <c r="A1532" s="751" t="s">
        <v>780</v>
      </c>
      <c r="B1532" s="751"/>
      <c r="C1532" s="745" t="s">
        <v>1110</v>
      </c>
      <c r="D1532" s="619">
        <v>100000</v>
      </c>
      <c r="E1532" s="1730"/>
      <c r="F1532" s="1731"/>
      <c r="G1532" s="1731"/>
      <c r="H1532" s="1731"/>
      <c r="I1532" s="1175"/>
      <c r="J1532" s="1175"/>
      <c r="K1532" s="1175"/>
      <c r="L1532" s="1180"/>
      <c r="M1532" s="750">
        <f t="shared" si="53"/>
        <v>100000</v>
      </c>
      <c r="O1532" s="858">
        <f>' дод 5_1'!E764</f>
        <v>100000</v>
      </c>
      <c r="P1532" s="858" t="b">
        <f t="shared" si="52"/>
        <v>1</v>
      </c>
    </row>
    <row r="1533" spans="1:16" x14ac:dyDescent="0.25">
      <c r="A1533" s="751" t="s">
        <v>781</v>
      </c>
      <c r="B1533" s="751"/>
      <c r="C1533" s="745" t="s">
        <v>1111</v>
      </c>
      <c r="D1533" s="762">
        <f>8956</f>
        <v>8956</v>
      </c>
      <c r="E1533" s="1730"/>
      <c r="F1533" s="1731"/>
      <c r="G1533" s="1731"/>
      <c r="H1533" s="1731"/>
      <c r="I1533" s="1175"/>
      <c r="J1533" s="1175"/>
      <c r="K1533" s="1175"/>
      <c r="L1533" s="1180"/>
      <c r="M1533" s="750">
        <f t="shared" si="53"/>
        <v>8956</v>
      </c>
      <c r="O1533" s="858">
        <f>' дод 5_1'!E775</f>
        <v>58446</v>
      </c>
      <c r="P1533" s="858" t="b">
        <f t="shared" si="52"/>
        <v>1</v>
      </c>
    </row>
    <row r="1534" spans="1:16" x14ac:dyDescent="0.25">
      <c r="A1534" s="751" t="s">
        <v>782</v>
      </c>
      <c r="B1534" s="751"/>
      <c r="C1534" s="745" t="s">
        <v>1112</v>
      </c>
      <c r="D1534" s="914">
        <f>300000+10000</f>
        <v>310000</v>
      </c>
      <c r="E1534" s="1730"/>
      <c r="F1534" s="1731"/>
      <c r="G1534" s="1731"/>
      <c r="H1534" s="1731"/>
      <c r="I1534" s="1175"/>
      <c r="J1534" s="1175"/>
      <c r="K1534" s="1175"/>
      <c r="L1534" s="1180"/>
      <c r="M1534" s="750">
        <f t="shared" si="53"/>
        <v>310000</v>
      </c>
      <c r="O1534" s="858">
        <f>' дод 5_1'!E786</f>
        <v>310000</v>
      </c>
      <c r="P1534" s="858" t="b">
        <f t="shared" si="52"/>
        <v>1</v>
      </c>
    </row>
    <row r="1535" spans="1:16" x14ac:dyDescent="0.25">
      <c r="A1535" s="751" t="s">
        <v>783</v>
      </c>
      <c r="B1535" s="751"/>
      <c r="C1535" s="745" t="s">
        <v>1113</v>
      </c>
      <c r="D1535" s="867">
        <f>50000+200000+450000-450000+116156</f>
        <v>366156</v>
      </c>
      <c r="E1535" s="1730"/>
      <c r="F1535" s="1731"/>
      <c r="G1535" s="1731"/>
      <c r="H1535" s="1731"/>
      <c r="I1535" s="1175"/>
      <c r="J1535" s="1175"/>
      <c r="K1535" s="1175"/>
      <c r="L1535" s="1180"/>
      <c r="M1535" s="750">
        <f t="shared" si="53"/>
        <v>366156</v>
      </c>
      <c r="O1535" s="858">
        <f>' дод 5_1'!E807</f>
        <v>557200</v>
      </c>
      <c r="P1535" s="858" t="b">
        <f t="shared" si="52"/>
        <v>1</v>
      </c>
    </row>
    <row r="1536" spans="1:16" x14ac:dyDescent="0.25">
      <c r="A1536" s="751" t="s">
        <v>784</v>
      </c>
      <c r="B1536" s="751"/>
      <c r="C1536" s="745" t="s">
        <v>1114</v>
      </c>
      <c r="D1536" s="914">
        <f>1094000+400000+463800+904006</f>
        <v>2861806</v>
      </c>
      <c r="E1536" s="1730"/>
      <c r="F1536" s="1731"/>
      <c r="G1536" s="1731"/>
      <c r="H1536" s="1731"/>
      <c r="I1536" s="1175"/>
      <c r="J1536" s="1175"/>
      <c r="K1536" s="1175"/>
      <c r="L1536" s="1180"/>
      <c r="M1536" s="750">
        <f t="shared" si="53"/>
        <v>2861806</v>
      </c>
      <c r="O1536" s="858">
        <f>' дод 5_1'!E835</f>
        <v>3076454</v>
      </c>
      <c r="P1536" s="858" t="b">
        <f t="shared" si="52"/>
        <v>1</v>
      </c>
    </row>
    <row r="1537" spans="1:16" x14ac:dyDescent="0.25">
      <c r="A1537" s="751" t="s">
        <v>785</v>
      </c>
      <c r="B1537" s="751"/>
      <c r="C1537" s="745" t="s">
        <v>1115</v>
      </c>
      <c r="D1537" s="914">
        <f>60000+189+3800+158956</f>
        <v>222945</v>
      </c>
      <c r="E1537" s="1730"/>
      <c r="F1537" s="1731"/>
      <c r="G1537" s="1731"/>
      <c r="H1537" s="1731"/>
      <c r="I1537" s="1175"/>
      <c r="J1537" s="1175"/>
      <c r="K1537" s="1175"/>
      <c r="L1537" s="1180"/>
      <c r="M1537" s="750">
        <f t="shared" si="53"/>
        <v>222945</v>
      </c>
      <c r="O1537" s="858">
        <f>' дод 5_1'!E846</f>
        <v>259145</v>
      </c>
      <c r="P1537" s="858" t="b">
        <f t="shared" si="52"/>
        <v>1</v>
      </c>
    </row>
    <row r="1538" spans="1:16" x14ac:dyDescent="0.25">
      <c r="A1538" s="751" t="s">
        <v>910</v>
      </c>
      <c r="B1538" s="751"/>
      <c r="C1538" s="745" t="s">
        <v>1116</v>
      </c>
      <c r="D1538" s="914">
        <f>3528040-1600000+1600000+11513800+76260+15000+100000+220000+213800+35000+387868+3411300</f>
        <v>19501068</v>
      </c>
      <c r="E1538" s="1730"/>
      <c r="F1538" s="1731"/>
      <c r="G1538" s="1731"/>
      <c r="H1538" s="1731"/>
      <c r="I1538" s="1175"/>
      <c r="J1538" s="1175"/>
      <c r="K1538" s="1175"/>
      <c r="L1538" s="1180"/>
      <c r="M1538" s="750">
        <f t="shared" si="53"/>
        <v>19501068</v>
      </c>
      <c r="O1538" s="858">
        <f>' дод 5_1'!E941</f>
        <v>20184468</v>
      </c>
      <c r="P1538" s="858" t="b">
        <f>O1538=(D1538+D1325+D1185)</f>
        <v>1</v>
      </c>
    </row>
    <row r="1539" spans="1:16" x14ac:dyDescent="0.25">
      <c r="A1539" s="751" t="s">
        <v>911</v>
      </c>
      <c r="B1539" s="751"/>
      <c r="C1539" s="745" t="s">
        <v>1117</v>
      </c>
      <c r="D1539" s="914">
        <f>650000-300000+300000+608800+49900</f>
        <v>1308700</v>
      </c>
      <c r="E1539" s="1730"/>
      <c r="F1539" s="1731"/>
      <c r="G1539" s="1731"/>
      <c r="H1539" s="1731"/>
      <c r="I1539" s="1175"/>
      <c r="J1539" s="1175"/>
      <c r="K1539" s="1175"/>
      <c r="L1539" s="1180"/>
      <c r="M1539" s="750">
        <f t="shared" si="53"/>
        <v>1308700</v>
      </c>
      <c r="O1539" s="858">
        <f>' дод 5_1'!E972</f>
        <v>1358500</v>
      </c>
      <c r="P1539" s="858" t="b">
        <f t="shared" ref="P1539:P1556" si="54">O1539=D1539+D1326+D1186</f>
        <v>1</v>
      </c>
    </row>
    <row r="1540" spans="1:16" hidden="1" x14ac:dyDescent="0.25">
      <c r="A1540" s="751" t="s">
        <v>1118</v>
      </c>
      <c r="B1540" s="751"/>
      <c r="C1540" s="745" t="s">
        <v>1119</v>
      </c>
      <c r="D1540" s="867">
        <f>50000-50000</f>
        <v>0</v>
      </c>
      <c r="E1540" s="1730"/>
      <c r="F1540" s="1731"/>
      <c r="G1540" s="1731"/>
      <c r="H1540" s="1731"/>
      <c r="I1540" s="1175"/>
      <c r="J1540" s="1175"/>
      <c r="K1540" s="1175"/>
      <c r="L1540" s="1180"/>
      <c r="M1540" s="750">
        <f t="shared" si="53"/>
        <v>0</v>
      </c>
      <c r="O1540" s="858">
        <f>' дод 5_1'!E982</f>
        <v>0</v>
      </c>
      <c r="P1540" s="858" t="b">
        <f t="shared" si="54"/>
        <v>1</v>
      </c>
    </row>
    <row r="1541" spans="1:16" hidden="1" x14ac:dyDescent="0.25">
      <c r="A1541" s="751" t="s">
        <v>1120</v>
      </c>
      <c r="B1541" s="751"/>
      <c r="C1541" s="745" t="s">
        <v>1121</v>
      </c>
      <c r="D1541" s="762">
        <v>0</v>
      </c>
      <c r="E1541" s="1730"/>
      <c r="F1541" s="1731"/>
      <c r="G1541" s="1731"/>
      <c r="H1541" s="1731"/>
      <c r="I1541" s="1175"/>
      <c r="J1541" s="1175"/>
      <c r="K1541" s="1175"/>
      <c r="L1541" s="1180"/>
      <c r="M1541" s="750">
        <f t="shared" si="53"/>
        <v>0</v>
      </c>
      <c r="O1541" s="858">
        <f>' дод 5_1'!E993</f>
        <v>0</v>
      </c>
      <c r="P1541" s="858" t="b">
        <f t="shared" si="54"/>
        <v>1</v>
      </c>
    </row>
    <row r="1542" spans="1:16" hidden="1" x14ac:dyDescent="0.25">
      <c r="A1542" s="751" t="s">
        <v>1122</v>
      </c>
      <c r="B1542" s="751"/>
      <c r="C1542" s="745" t="s">
        <v>1123</v>
      </c>
      <c r="D1542" s="762">
        <v>0</v>
      </c>
      <c r="E1542" s="1730"/>
      <c r="F1542" s="1731"/>
      <c r="G1542" s="1731"/>
      <c r="H1542" s="1731"/>
      <c r="I1542" s="1175"/>
      <c r="J1542" s="1175"/>
      <c r="K1542" s="1175"/>
      <c r="L1542" s="1180"/>
      <c r="M1542" s="750">
        <f t="shared" si="53"/>
        <v>0</v>
      </c>
      <c r="O1542" s="858">
        <f>' дод 5_1'!E1004</f>
        <v>0</v>
      </c>
      <c r="P1542" s="858" t="b">
        <f t="shared" si="54"/>
        <v>1</v>
      </c>
    </row>
    <row r="1543" spans="1:16" hidden="1" x14ac:dyDescent="0.25">
      <c r="A1543" s="751" t="s">
        <v>1124</v>
      </c>
      <c r="B1543" s="751"/>
      <c r="C1543" s="745" t="s">
        <v>1125</v>
      </c>
      <c r="D1543" s="762">
        <v>0</v>
      </c>
      <c r="E1543" s="1730"/>
      <c r="F1543" s="1731"/>
      <c r="G1543" s="1731"/>
      <c r="H1543" s="1731"/>
      <c r="I1543" s="1175"/>
      <c r="J1543" s="1175"/>
      <c r="K1543" s="1175"/>
      <c r="L1543" s="1180"/>
      <c r="M1543" s="750">
        <f t="shared" si="53"/>
        <v>0</v>
      </c>
      <c r="O1543" s="858">
        <f>' дод 5_1'!E1015</f>
        <v>0</v>
      </c>
      <c r="P1543" s="858" t="b">
        <f t="shared" si="54"/>
        <v>1</v>
      </c>
    </row>
    <row r="1544" spans="1:16" x14ac:dyDescent="0.25">
      <c r="A1544" s="751" t="s">
        <v>1126</v>
      </c>
      <c r="B1544" s="751"/>
      <c r="C1544" s="745" t="s">
        <v>1127</v>
      </c>
      <c r="D1544" s="914">
        <f>750000+812600+182456+1147181</f>
        <v>2892237</v>
      </c>
      <c r="E1544" s="1730"/>
      <c r="F1544" s="1731"/>
      <c r="G1544" s="1731"/>
      <c r="H1544" s="1731"/>
      <c r="I1544" s="1175"/>
      <c r="J1544" s="1175"/>
      <c r="K1544" s="1175"/>
      <c r="L1544" s="1180"/>
      <c r="M1544" s="750">
        <f t="shared" si="53"/>
        <v>2892237</v>
      </c>
      <c r="O1544" s="858">
        <f>' дод 5_1'!E1055</f>
        <v>3104325</v>
      </c>
      <c r="P1544" s="858" t="b">
        <f t="shared" si="54"/>
        <v>1</v>
      </c>
    </row>
    <row r="1545" spans="1:16" hidden="1" x14ac:dyDescent="0.25">
      <c r="A1545" s="751" t="s">
        <v>1128</v>
      </c>
      <c r="B1545" s="751"/>
      <c r="C1545" s="745" t="s">
        <v>1129</v>
      </c>
      <c r="D1545" s="762">
        <v>0</v>
      </c>
      <c r="E1545" s="1730"/>
      <c r="F1545" s="1731"/>
      <c r="G1545" s="1731"/>
      <c r="H1545" s="1731"/>
      <c r="I1545" s="1175"/>
      <c r="J1545" s="1175"/>
      <c r="K1545" s="1175"/>
      <c r="L1545" s="1180"/>
      <c r="M1545" s="750">
        <f t="shared" si="53"/>
        <v>0</v>
      </c>
      <c r="O1545" s="858">
        <f>' дод 5_1'!E1066</f>
        <v>0</v>
      </c>
      <c r="P1545" s="858" t="b">
        <f t="shared" si="54"/>
        <v>1</v>
      </c>
    </row>
    <row r="1546" spans="1:16" hidden="1" x14ac:dyDescent="0.25">
      <c r="A1546" s="751" t="s">
        <v>1130</v>
      </c>
      <c r="B1546" s="751"/>
      <c r="C1546" s="745" t="s">
        <v>1131</v>
      </c>
      <c r="D1546" s="762"/>
      <c r="E1546" s="1730"/>
      <c r="F1546" s="1731"/>
      <c r="G1546" s="1731"/>
      <c r="H1546" s="1731"/>
      <c r="I1546" s="1175"/>
      <c r="J1546" s="1175"/>
      <c r="K1546" s="1175"/>
      <c r="L1546" s="1180"/>
      <c r="M1546" s="750">
        <f t="shared" si="53"/>
        <v>0</v>
      </c>
      <c r="O1546" s="858">
        <f>' дод 5_1'!E1077</f>
        <v>80000</v>
      </c>
      <c r="P1546" s="858" t="b">
        <f t="shared" si="54"/>
        <v>1</v>
      </c>
    </row>
    <row r="1547" spans="1:16" hidden="1" x14ac:dyDescent="0.25">
      <c r="A1547" s="751" t="s">
        <v>1132</v>
      </c>
      <c r="B1547" s="751"/>
      <c r="C1547" s="745" t="s">
        <v>1133</v>
      </c>
      <c r="D1547" s="762">
        <v>0</v>
      </c>
      <c r="E1547" s="1730"/>
      <c r="F1547" s="1731"/>
      <c r="G1547" s="1731"/>
      <c r="H1547" s="1731"/>
      <c r="I1547" s="1175"/>
      <c r="J1547" s="1175"/>
      <c r="K1547" s="1175"/>
      <c r="L1547" s="1180"/>
      <c r="M1547" s="750">
        <f t="shared" si="53"/>
        <v>0</v>
      </c>
      <c r="O1547" s="858">
        <f>' дод 5_1'!E1088</f>
        <v>0</v>
      </c>
      <c r="P1547" s="858" t="b">
        <f t="shared" si="54"/>
        <v>1</v>
      </c>
    </row>
    <row r="1548" spans="1:16" x14ac:dyDescent="0.25">
      <c r="A1548" s="751" t="s">
        <v>1134</v>
      </c>
      <c r="B1548" s="751"/>
      <c r="C1548" s="745" t="s">
        <v>1135</v>
      </c>
      <c r="D1548" s="619">
        <f>15000+40000+50000</f>
        <v>105000</v>
      </c>
      <c r="E1548" s="1730"/>
      <c r="F1548" s="1731"/>
      <c r="G1548" s="1731"/>
      <c r="H1548" s="1731"/>
      <c r="I1548" s="1175"/>
      <c r="J1548" s="1175"/>
      <c r="K1548" s="1175"/>
      <c r="L1548" s="1180"/>
      <c r="M1548" s="750">
        <f t="shared" si="53"/>
        <v>105000</v>
      </c>
      <c r="O1548" s="858">
        <f>' дод 5_1'!E1099</f>
        <v>105000</v>
      </c>
      <c r="P1548" s="858" t="b">
        <f t="shared" si="54"/>
        <v>1</v>
      </c>
    </row>
    <row r="1549" spans="1:16" x14ac:dyDescent="0.25">
      <c r="A1549" s="751" t="s">
        <v>1136</v>
      </c>
      <c r="B1549" s="751"/>
      <c r="C1549" s="745" t="s">
        <v>1137</v>
      </c>
      <c r="D1549" s="914">
        <f>1990000-140000+100000+150000+180000-68270+68270+236306</f>
        <v>2516306</v>
      </c>
      <c r="E1549" s="1730"/>
      <c r="F1549" s="1731"/>
      <c r="G1549" s="1731"/>
      <c r="H1549" s="1731"/>
      <c r="I1549" s="1175"/>
      <c r="J1549" s="1175"/>
      <c r="K1549" s="1175"/>
      <c r="L1549" s="1180"/>
      <c r="M1549" s="750">
        <f t="shared" si="53"/>
        <v>2516306</v>
      </c>
      <c r="O1549" s="858">
        <f>' дод 5_1'!E1154</f>
        <v>3145103</v>
      </c>
      <c r="P1549" s="858" t="b">
        <f t="shared" si="54"/>
        <v>1</v>
      </c>
    </row>
    <row r="1550" spans="1:16" x14ac:dyDescent="0.25">
      <c r="A1550" s="751" t="s">
        <v>1138</v>
      </c>
      <c r="B1550" s="751"/>
      <c r="C1550" s="745" t="s">
        <v>1139</v>
      </c>
      <c r="D1550" s="914">
        <f>1040000+350000+217912</f>
        <v>1607912</v>
      </c>
      <c r="E1550" s="1730"/>
      <c r="F1550" s="1731"/>
      <c r="G1550" s="1731"/>
      <c r="H1550" s="1731"/>
      <c r="I1550" s="1175"/>
      <c r="J1550" s="1175"/>
      <c r="K1550" s="1175"/>
      <c r="L1550" s="1180"/>
      <c r="M1550" s="750">
        <f t="shared" si="53"/>
        <v>1607912</v>
      </c>
      <c r="O1550" s="858">
        <f>' дод 5_1'!E1183</f>
        <v>1764112</v>
      </c>
      <c r="P1550" s="858" t="b">
        <f t="shared" si="54"/>
        <v>1</v>
      </c>
    </row>
    <row r="1551" spans="1:16" x14ac:dyDescent="0.25">
      <c r="A1551" s="751" t="s">
        <v>1140</v>
      </c>
      <c r="B1551" s="751"/>
      <c r="C1551" s="745" t="s">
        <v>1141</v>
      </c>
      <c r="D1551" s="914">
        <f>1290000-500000+500000-500000+500000+399600+25000-500000+300000+194500+247912</f>
        <v>1957012</v>
      </c>
      <c r="E1551" s="1730"/>
      <c r="F1551" s="1731"/>
      <c r="G1551" s="1731"/>
      <c r="H1551" s="1731"/>
      <c r="I1551" s="1175"/>
      <c r="J1551" s="1175"/>
      <c r="K1551" s="1175"/>
      <c r="L1551" s="1180"/>
      <c r="M1551" s="750">
        <f t="shared" si="53"/>
        <v>1957012</v>
      </c>
      <c r="O1551" s="858">
        <f>' дод 5_1'!E1238</f>
        <v>2269002</v>
      </c>
      <c r="P1551" s="858" t="b">
        <f t="shared" si="54"/>
        <v>1</v>
      </c>
    </row>
    <row r="1552" spans="1:16" x14ac:dyDescent="0.25">
      <c r="A1552" s="751" t="s">
        <v>1142</v>
      </c>
      <c r="B1552" s="751"/>
      <c r="C1552" s="745" t="s">
        <v>1143</v>
      </c>
      <c r="D1552" s="914">
        <f>1000000-500000+500000+475000+173310+133000</f>
        <v>1781310</v>
      </c>
      <c r="E1552" s="1730"/>
      <c r="F1552" s="1731"/>
      <c r="G1552" s="1731"/>
      <c r="H1552" s="1731"/>
      <c r="I1552" s="1175"/>
      <c r="J1552" s="1175"/>
      <c r="K1552" s="1175"/>
      <c r="L1552" s="1180"/>
      <c r="M1552" s="750">
        <f t="shared" si="53"/>
        <v>1781310</v>
      </c>
      <c r="O1552" s="858">
        <f>' дод 5_1'!E1277</f>
        <v>1911310</v>
      </c>
      <c r="P1552" s="858" t="b">
        <f t="shared" si="54"/>
        <v>1</v>
      </c>
    </row>
    <row r="1553" spans="1:16" x14ac:dyDescent="0.25">
      <c r="A1553" s="751" t="s">
        <v>1144</v>
      </c>
      <c r="B1553" s="751"/>
      <c r="C1553" s="745" t="s">
        <v>1145</v>
      </c>
      <c r="D1553" s="914">
        <f>300000+25000+168956</f>
        <v>493956</v>
      </c>
      <c r="E1553" s="1730"/>
      <c r="F1553" s="1731"/>
      <c r="G1553" s="1731"/>
      <c r="H1553" s="1731"/>
      <c r="I1553" s="1175"/>
      <c r="J1553" s="1175"/>
      <c r="K1553" s="1175"/>
      <c r="L1553" s="1180"/>
      <c r="M1553" s="750">
        <f t="shared" si="53"/>
        <v>493956</v>
      </c>
      <c r="O1553" s="858">
        <f>' дод 5_1'!E1302</f>
        <v>712200</v>
      </c>
      <c r="P1553" s="858" t="b">
        <f t="shared" si="54"/>
        <v>1</v>
      </c>
    </row>
    <row r="1554" spans="1:16" x14ac:dyDescent="0.25">
      <c r="A1554" s="751" t="s">
        <v>1146</v>
      </c>
      <c r="B1554" s="751"/>
      <c r="C1554" s="745" t="s">
        <v>1147</v>
      </c>
      <c r="D1554" s="914">
        <f>579000+147800+133900+40000+463800+158856</f>
        <v>1523356</v>
      </c>
      <c r="E1554" s="1730"/>
      <c r="F1554" s="1731"/>
      <c r="G1554" s="1731"/>
      <c r="H1554" s="1731"/>
      <c r="I1554" s="1175"/>
      <c r="J1554" s="1175"/>
      <c r="K1554" s="1175"/>
      <c r="L1554" s="1180"/>
      <c r="M1554" s="750">
        <f t="shared" si="53"/>
        <v>1523356</v>
      </c>
      <c r="O1554" s="858">
        <f>' дод 5_1'!E1345</f>
        <v>1909766</v>
      </c>
      <c r="P1554" s="858" t="b">
        <f t="shared" si="54"/>
        <v>1</v>
      </c>
    </row>
    <row r="1555" spans="1:16" x14ac:dyDescent="0.25">
      <c r="A1555" s="751" t="s">
        <v>1148</v>
      </c>
      <c r="B1555" s="751"/>
      <c r="C1555" s="745" t="s">
        <v>1149</v>
      </c>
      <c r="D1555" s="619">
        <f>50000</f>
        <v>50000</v>
      </c>
      <c r="E1555" s="1730"/>
      <c r="F1555" s="1731"/>
      <c r="G1555" s="1731"/>
      <c r="H1555" s="1731"/>
      <c r="I1555" s="1175"/>
      <c r="J1555" s="1175"/>
      <c r="K1555" s="1175"/>
      <c r="L1555" s="1180"/>
      <c r="M1555" s="750">
        <f t="shared" si="53"/>
        <v>50000</v>
      </c>
      <c r="O1555" s="858">
        <f>' дод 5_1'!E1356</f>
        <v>170800</v>
      </c>
      <c r="P1555" s="858" t="b">
        <f t="shared" si="54"/>
        <v>1</v>
      </c>
    </row>
    <row r="1556" spans="1:16" hidden="1" x14ac:dyDescent="0.25">
      <c r="A1556" s="751"/>
      <c r="B1556" s="751"/>
      <c r="C1556" s="745" t="s">
        <v>168</v>
      </c>
      <c r="D1556" s="762">
        <v>0</v>
      </c>
      <c r="E1556" s="1736"/>
      <c r="F1556" s="1737"/>
      <c r="G1556" s="1737"/>
      <c r="H1556" s="1737"/>
      <c r="I1556" s="1176"/>
      <c r="J1556" s="1176"/>
      <c r="K1556" s="1176"/>
      <c r="L1556" s="1177"/>
      <c r="M1556" s="750">
        <f t="shared" si="53"/>
        <v>0</v>
      </c>
      <c r="O1556" s="858">
        <f>' дод 5_1'!E1367</f>
        <v>0</v>
      </c>
      <c r="P1556" s="858" t="b">
        <f t="shared" si="54"/>
        <v>1</v>
      </c>
    </row>
    <row r="1557" spans="1:16" ht="56.25" x14ac:dyDescent="0.25">
      <c r="A1557" s="1421" t="s">
        <v>298</v>
      </c>
      <c r="B1557" s="1421" t="s">
        <v>299</v>
      </c>
      <c r="C1557" s="1419" t="s">
        <v>300</v>
      </c>
      <c r="D1557" s="1088">
        <f>D1558</f>
        <v>557088</v>
      </c>
      <c r="E1557" s="887"/>
      <c r="F1557" s="1420"/>
      <c r="G1557" s="1732"/>
      <c r="H1557" s="1732"/>
      <c r="I1557" s="1420"/>
      <c r="J1557" s="1420"/>
      <c r="K1557" s="1420"/>
      <c r="L1557" s="1174"/>
      <c r="M1557" s="750">
        <f>SUM(D1557:H1557)</f>
        <v>557088</v>
      </c>
      <c r="O1557" s="860" t="b">
        <f>D1557=дод3!J29</f>
        <v>1</v>
      </c>
      <c r="P1557" s="861"/>
    </row>
    <row r="1558" spans="1:16" x14ac:dyDescent="0.25">
      <c r="A1558" s="751">
        <v>99000000000</v>
      </c>
      <c r="B1558" s="751"/>
      <c r="C1558" s="745" t="s">
        <v>1756</v>
      </c>
      <c r="D1558" s="914">
        <v>557088</v>
      </c>
      <c r="E1558" s="1736"/>
      <c r="F1558" s="1737"/>
      <c r="G1558" s="1737"/>
      <c r="H1558" s="1737"/>
      <c r="I1558" s="1176"/>
      <c r="J1558" s="1176"/>
      <c r="K1558" s="1176"/>
      <c r="L1558" s="1177"/>
      <c r="M1558" s="750">
        <f>SUM(D1558:H1558)</f>
        <v>557088</v>
      </c>
      <c r="O1558" s="858"/>
      <c r="P1558" s="858"/>
    </row>
    <row r="1559" spans="1:16" ht="56.25" x14ac:dyDescent="0.25">
      <c r="A1559" s="976" t="s">
        <v>1576</v>
      </c>
      <c r="B1559" s="976" t="s">
        <v>299</v>
      </c>
      <c r="C1559" s="975" t="s">
        <v>300</v>
      </c>
      <c r="D1559" s="1088">
        <f>D1560</f>
        <v>1000000</v>
      </c>
      <c r="E1559" s="887"/>
      <c r="F1559" s="1173"/>
      <c r="G1559" s="1732"/>
      <c r="H1559" s="1732"/>
      <c r="I1559" s="1173"/>
      <c r="J1559" s="1173"/>
      <c r="K1559" s="1173"/>
      <c r="L1559" s="1174"/>
      <c r="M1559" s="750">
        <f t="shared" si="53"/>
        <v>1000000</v>
      </c>
      <c r="O1559" s="860" t="b">
        <f>D1559=дод3!J82</f>
        <v>1</v>
      </c>
      <c r="P1559" s="861"/>
    </row>
    <row r="1560" spans="1:16" x14ac:dyDescent="0.25">
      <c r="A1560" s="751">
        <v>99000000000</v>
      </c>
      <c r="B1560" s="751"/>
      <c r="C1560" s="745" t="s">
        <v>1756</v>
      </c>
      <c r="D1560" s="914">
        <v>1000000</v>
      </c>
      <c r="E1560" s="1736"/>
      <c r="F1560" s="1737"/>
      <c r="G1560" s="1737"/>
      <c r="H1560" s="1737"/>
      <c r="I1560" s="1176"/>
      <c r="J1560" s="1176"/>
      <c r="K1560" s="1176"/>
      <c r="L1560" s="1177"/>
      <c r="M1560" s="750">
        <f t="shared" ref="M1560:M1568" si="55">SUM(D1560:H1560)</f>
        <v>1000000</v>
      </c>
      <c r="O1560" s="858"/>
      <c r="P1560" s="858"/>
    </row>
    <row r="1561" spans="1:16" ht="56.25" x14ac:dyDescent="0.25">
      <c r="A1561" s="1424" t="s">
        <v>1005</v>
      </c>
      <c r="B1561" s="1424" t="s">
        <v>299</v>
      </c>
      <c r="C1561" s="1423" t="s">
        <v>300</v>
      </c>
      <c r="D1561" s="1088">
        <f>D1562</f>
        <v>167912</v>
      </c>
      <c r="E1561" s="887"/>
      <c r="F1561" s="1422"/>
      <c r="G1561" s="1732"/>
      <c r="H1561" s="1732"/>
      <c r="I1561" s="1422"/>
      <c r="J1561" s="1422"/>
      <c r="K1561" s="1422"/>
      <c r="L1561" s="1174"/>
      <c r="M1561" s="750">
        <f t="shared" si="55"/>
        <v>167912</v>
      </c>
      <c r="O1561" s="1395" t="b">
        <f>M1561=дод3!J290</f>
        <v>1</v>
      </c>
      <c r="P1561" s="861"/>
    </row>
    <row r="1562" spans="1:16" x14ac:dyDescent="0.25">
      <c r="A1562" s="751">
        <v>99000000000</v>
      </c>
      <c r="B1562" s="751"/>
      <c r="C1562" s="745" t="s">
        <v>1756</v>
      </c>
      <c r="D1562" s="914">
        <v>167912</v>
      </c>
      <c r="E1562" s="1736"/>
      <c r="F1562" s="1737"/>
      <c r="G1562" s="1737"/>
      <c r="H1562" s="1737"/>
      <c r="I1562" s="1176"/>
      <c r="J1562" s="1176"/>
      <c r="K1562" s="1176"/>
      <c r="L1562" s="1177"/>
      <c r="M1562" s="750">
        <f t="shared" si="55"/>
        <v>167912</v>
      </c>
      <c r="O1562" s="858"/>
      <c r="P1562" s="858"/>
    </row>
    <row r="1563" spans="1:16" ht="56.25" x14ac:dyDescent="0.25">
      <c r="A1563" s="1424" t="s">
        <v>978</v>
      </c>
      <c r="B1563" s="1424" t="s">
        <v>299</v>
      </c>
      <c r="C1563" s="1423" t="s">
        <v>300</v>
      </c>
      <c r="D1563" s="1088">
        <f>D1564</f>
        <v>60000</v>
      </c>
      <c r="E1563" s="887"/>
      <c r="F1563" s="1422"/>
      <c r="G1563" s="1732"/>
      <c r="H1563" s="1732"/>
      <c r="I1563" s="1422"/>
      <c r="J1563" s="1422"/>
      <c r="K1563" s="1422"/>
      <c r="L1563" s="1174"/>
      <c r="M1563" s="750">
        <f t="shared" si="55"/>
        <v>60000</v>
      </c>
      <c r="O1563" s="1395" t="b">
        <f>M1563=дод3!J292</f>
        <v>1</v>
      </c>
      <c r="P1563" s="861"/>
    </row>
    <row r="1564" spans="1:16" x14ac:dyDescent="0.25">
      <c r="A1564" s="751">
        <v>99000000000</v>
      </c>
      <c r="B1564" s="751"/>
      <c r="C1564" s="745" t="s">
        <v>1756</v>
      </c>
      <c r="D1564" s="914">
        <v>60000</v>
      </c>
      <c r="E1564" s="1736"/>
      <c r="F1564" s="1737"/>
      <c r="G1564" s="1737"/>
      <c r="H1564" s="1737"/>
      <c r="I1564" s="1176"/>
      <c r="J1564" s="1176"/>
      <c r="K1564" s="1176"/>
      <c r="L1564" s="1177"/>
      <c r="M1564" s="750">
        <f t="shared" si="55"/>
        <v>60000</v>
      </c>
      <c r="O1564" s="858"/>
      <c r="P1564" s="858"/>
    </row>
    <row r="1565" spans="1:16" ht="56.25" x14ac:dyDescent="0.25">
      <c r="A1565" s="976" t="s">
        <v>499</v>
      </c>
      <c r="B1565" s="976" t="s">
        <v>299</v>
      </c>
      <c r="C1565" s="975" t="s">
        <v>300</v>
      </c>
      <c r="D1565" s="1088">
        <f>D1566</f>
        <v>5387500</v>
      </c>
      <c r="E1565" s="887"/>
      <c r="F1565" s="1173"/>
      <c r="G1565" s="1732"/>
      <c r="H1565" s="1732"/>
      <c r="I1565" s="1173"/>
      <c r="J1565" s="1173"/>
      <c r="K1565" s="1173"/>
      <c r="L1565" s="1174"/>
      <c r="M1565" s="750">
        <f t="shared" si="55"/>
        <v>5387500</v>
      </c>
      <c r="O1565" s="1395" t="b">
        <f>D1565=дод3!J313</f>
        <v>1</v>
      </c>
      <c r="P1565" s="861"/>
    </row>
    <row r="1566" spans="1:16" x14ac:dyDescent="0.25">
      <c r="A1566" s="751">
        <v>99000000000</v>
      </c>
      <c r="B1566" s="751"/>
      <c r="C1566" s="745" t="s">
        <v>1756</v>
      </c>
      <c r="D1566" s="914">
        <f>5387500</f>
        <v>5387500</v>
      </c>
      <c r="E1566" s="1736"/>
      <c r="F1566" s="1737"/>
      <c r="G1566" s="1737"/>
      <c r="H1566" s="1737"/>
      <c r="I1566" s="1176"/>
      <c r="J1566" s="1176"/>
      <c r="K1566" s="1176"/>
      <c r="L1566" s="1177"/>
      <c r="M1566" s="750">
        <f t="shared" si="55"/>
        <v>5387500</v>
      </c>
      <c r="O1566" s="858"/>
      <c r="P1566" s="858"/>
    </row>
    <row r="1567" spans="1:16" ht="20.25" x14ac:dyDescent="0.3">
      <c r="A1567" s="775" t="s">
        <v>746</v>
      </c>
      <c r="B1567" s="775" t="s">
        <v>746</v>
      </c>
      <c r="C1567" s="776" t="s">
        <v>1156</v>
      </c>
      <c r="D1567" s="1101">
        <f>D1568+D1637</f>
        <v>489055281</v>
      </c>
      <c r="E1567" s="1300"/>
      <c r="F1567" s="1301"/>
      <c r="G1567" s="1301"/>
      <c r="H1567" s="1301"/>
      <c r="I1567" s="1301"/>
      <c r="J1567" s="1301"/>
      <c r="K1567" s="1301"/>
      <c r="L1567" s="1302"/>
      <c r="M1567" s="750">
        <f t="shared" si="55"/>
        <v>489055281</v>
      </c>
      <c r="O1567" s="859">
        <f>D6+D144+D285+D496+D769+D911+D982+D1053+D73+D214+D427+D1124+D1128+D1130+D359+D565+D633+D701+D840+D1126</f>
        <v>395396725</v>
      </c>
      <c r="P1567" s="859">
        <f>O1567-D1568</f>
        <v>0</v>
      </c>
    </row>
    <row r="1568" spans="1:16" ht="20.25" x14ac:dyDescent="0.3">
      <c r="A1568" s="777" t="s">
        <v>746</v>
      </c>
      <c r="B1568" s="777" t="s">
        <v>746</v>
      </c>
      <c r="C1568" s="778" t="s">
        <v>114</v>
      </c>
      <c r="D1568" s="1102">
        <f>D6+D144+D285+D496+D911+D769+D982+D1053+D73+D214+D427+D1124+D1128+D1130+D359+D565+D633+D701+D840+D1126</f>
        <v>395396725</v>
      </c>
      <c r="E1568" s="1207"/>
      <c r="F1568" s="1235"/>
      <c r="G1568" s="1760"/>
      <c r="H1568" s="1760"/>
      <c r="I1568" s="1235"/>
      <c r="J1568" s="1235"/>
      <c r="K1568" s="1235"/>
      <c r="L1568" s="1208"/>
      <c r="M1568" s="750">
        <f t="shared" si="55"/>
        <v>395396725</v>
      </c>
      <c r="O1568" s="1319">
        <f>SUM(D1569:D1636)</f>
        <v>395396725</v>
      </c>
      <c r="P1568" s="508"/>
    </row>
    <row r="1569" spans="1:15" ht="20.25" hidden="1" x14ac:dyDescent="0.3">
      <c r="A1569" s="748"/>
      <c r="B1569" s="748"/>
      <c r="C1569" s="85" t="s">
        <v>168</v>
      </c>
      <c r="D1569" s="768">
        <f>D213+D355+D839+D981+D1052+D1123+D143+D284+D495+D426+D632+D700+D768+D910</f>
        <v>4150558</v>
      </c>
      <c r="E1569" s="1736"/>
      <c r="F1569" s="1737"/>
      <c r="G1569" s="1737"/>
      <c r="H1569" s="1737"/>
      <c r="I1569" s="1176"/>
      <c r="J1569" s="1176"/>
      <c r="K1569" s="1176"/>
      <c r="L1569" s="1177"/>
      <c r="M1569" s="750"/>
      <c r="O1569" s="1320">
        <f>D1568-O1568</f>
        <v>0</v>
      </c>
    </row>
    <row r="1570" spans="1:15" ht="20.25" hidden="1" x14ac:dyDescent="0.3">
      <c r="A1570" s="748"/>
      <c r="B1570" s="748"/>
      <c r="C1570" s="745" t="s">
        <v>1060</v>
      </c>
      <c r="D1570" s="768">
        <f t="shared" ref="D1570:D1601" si="56">D7+D147+D289+D499+D915+D773+D986+D1057+D218+D429+D77+D360+D566+D634+D702+D844</f>
        <v>1070427</v>
      </c>
      <c r="E1570" s="1736"/>
      <c r="F1570" s="1737"/>
      <c r="G1570" s="1737"/>
      <c r="H1570" s="1737"/>
      <c r="I1570" s="1176"/>
      <c r="J1570" s="1176"/>
      <c r="K1570" s="1176"/>
      <c r="L1570" s="1177"/>
      <c r="M1570" s="750"/>
    </row>
    <row r="1571" spans="1:15" ht="20.25" hidden="1" x14ac:dyDescent="0.3">
      <c r="A1571" s="748"/>
      <c r="B1571" s="748"/>
      <c r="C1571" s="745" t="s">
        <v>1069</v>
      </c>
      <c r="D1571" s="768">
        <f t="shared" si="56"/>
        <v>1163401</v>
      </c>
      <c r="E1571" s="1736"/>
      <c r="F1571" s="1737"/>
      <c r="G1571" s="1737"/>
      <c r="H1571" s="1737"/>
      <c r="I1571" s="1176"/>
      <c r="J1571" s="1176"/>
      <c r="K1571" s="1176"/>
      <c r="L1571" s="1177"/>
      <c r="M1571" s="750"/>
    </row>
    <row r="1572" spans="1:15" ht="20.25" hidden="1" x14ac:dyDescent="0.3">
      <c r="A1572" s="748"/>
      <c r="B1572" s="748"/>
      <c r="C1572" s="745" t="s">
        <v>1070</v>
      </c>
      <c r="D1572" s="768">
        <f t="shared" si="56"/>
        <v>1353914</v>
      </c>
      <c r="E1572" s="1736"/>
      <c r="F1572" s="1737"/>
      <c r="G1572" s="1737"/>
      <c r="H1572" s="1737"/>
      <c r="I1572" s="1176"/>
      <c r="J1572" s="1176"/>
      <c r="K1572" s="1176"/>
      <c r="L1572" s="1177"/>
      <c r="M1572" s="750"/>
    </row>
    <row r="1573" spans="1:15" ht="20.25" hidden="1" x14ac:dyDescent="0.3">
      <c r="A1573" s="748"/>
      <c r="B1573" s="748"/>
      <c r="C1573" s="745" t="s">
        <v>1071</v>
      </c>
      <c r="D1573" s="768">
        <f t="shared" si="56"/>
        <v>2630557</v>
      </c>
      <c r="E1573" s="1736"/>
      <c r="F1573" s="1737"/>
      <c r="G1573" s="1737"/>
      <c r="H1573" s="1737"/>
      <c r="I1573" s="1176"/>
      <c r="J1573" s="1176"/>
      <c r="K1573" s="1176"/>
      <c r="L1573" s="1177"/>
      <c r="M1573" s="750"/>
    </row>
    <row r="1574" spans="1:15" ht="20.25" hidden="1" x14ac:dyDescent="0.3">
      <c r="A1574" s="748"/>
      <c r="B1574" s="748"/>
      <c r="C1574" s="745" t="s">
        <v>1072</v>
      </c>
      <c r="D1574" s="768">
        <f t="shared" si="56"/>
        <v>2365859</v>
      </c>
      <c r="E1574" s="1736"/>
      <c r="F1574" s="1737"/>
      <c r="G1574" s="1737"/>
      <c r="H1574" s="1737"/>
      <c r="I1574" s="1176"/>
      <c r="J1574" s="1176"/>
      <c r="K1574" s="1176"/>
      <c r="L1574" s="1177"/>
      <c r="M1574" s="750"/>
    </row>
    <row r="1575" spans="1:15" ht="20.25" hidden="1" x14ac:dyDescent="0.3">
      <c r="A1575" s="748"/>
      <c r="B1575" s="748"/>
      <c r="C1575" s="745" t="s">
        <v>1073</v>
      </c>
      <c r="D1575" s="768">
        <f t="shared" si="56"/>
        <v>3249370</v>
      </c>
      <c r="E1575" s="1736"/>
      <c r="F1575" s="1737"/>
      <c r="G1575" s="1737"/>
      <c r="H1575" s="1737"/>
      <c r="I1575" s="1176"/>
      <c r="J1575" s="1176"/>
      <c r="K1575" s="1176"/>
      <c r="L1575" s="1177"/>
      <c r="M1575" s="750"/>
    </row>
    <row r="1576" spans="1:15" ht="20.25" hidden="1" x14ac:dyDescent="0.3">
      <c r="A1576" s="748"/>
      <c r="B1576" s="748"/>
      <c r="C1576" s="745" t="s">
        <v>1074</v>
      </c>
      <c r="D1576" s="768">
        <f t="shared" si="56"/>
        <v>1460346</v>
      </c>
      <c r="E1576" s="1736"/>
      <c r="F1576" s="1737"/>
      <c r="G1576" s="1737"/>
      <c r="H1576" s="1737"/>
      <c r="I1576" s="1176"/>
      <c r="J1576" s="1176"/>
      <c r="K1576" s="1176"/>
      <c r="L1576" s="1177"/>
      <c r="M1576" s="750"/>
    </row>
    <row r="1577" spans="1:15" ht="20.25" hidden="1" x14ac:dyDescent="0.3">
      <c r="A1577" s="748"/>
      <c r="B1577" s="748"/>
      <c r="C1577" s="745" t="s">
        <v>1075</v>
      </c>
      <c r="D1577" s="768">
        <f t="shared" si="56"/>
        <v>5199603</v>
      </c>
      <c r="E1577" s="1736"/>
      <c r="F1577" s="1737"/>
      <c r="G1577" s="1737"/>
      <c r="H1577" s="1737"/>
      <c r="I1577" s="1176"/>
      <c r="J1577" s="1176"/>
      <c r="K1577" s="1176"/>
      <c r="L1577" s="1177"/>
      <c r="M1577" s="750"/>
    </row>
    <row r="1578" spans="1:15" ht="20.25" hidden="1" x14ac:dyDescent="0.3">
      <c r="A1578" s="748"/>
      <c r="B1578" s="748"/>
      <c r="C1578" s="745" t="s">
        <v>1076</v>
      </c>
      <c r="D1578" s="768">
        <f t="shared" si="56"/>
        <v>1479337</v>
      </c>
      <c r="E1578" s="1736"/>
      <c r="F1578" s="1737"/>
      <c r="G1578" s="1737"/>
      <c r="H1578" s="1737"/>
      <c r="I1578" s="1176"/>
      <c r="J1578" s="1176"/>
      <c r="K1578" s="1176"/>
      <c r="L1578" s="1177"/>
      <c r="M1578" s="750"/>
    </row>
    <row r="1579" spans="1:15" ht="20.25" hidden="1" x14ac:dyDescent="0.3">
      <c r="A1579" s="748"/>
      <c r="B1579" s="748"/>
      <c r="C1579" s="745" t="s">
        <v>1077</v>
      </c>
      <c r="D1579" s="768">
        <f t="shared" si="56"/>
        <v>1650119</v>
      </c>
      <c r="E1579" s="1736"/>
      <c r="F1579" s="1737"/>
      <c r="G1579" s="1737"/>
      <c r="H1579" s="1737"/>
      <c r="I1579" s="1176"/>
      <c r="J1579" s="1176"/>
      <c r="K1579" s="1176"/>
      <c r="L1579" s="1177"/>
      <c r="M1579" s="750"/>
    </row>
    <row r="1580" spans="1:15" ht="20.25" hidden="1" x14ac:dyDescent="0.3">
      <c r="A1580" s="748"/>
      <c r="B1580" s="748"/>
      <c r="C1580" s="745" t="s">
        <v>1078</v>
      </c>
      <c r="D1580" s="768">
        <f t="shared" si="56"/>
        <v>10347137</v>
      </c>
      <c r="E1580" s="1736"/>
      <c r="F1580" s="1737"/>
      <c r="G1580" s="1737"/>
      <c r="H1580" s="1737"/>
      <c r="I1580" s="1176"/>
      <c r="J1580" s="1176"/>
      <c r="K1580" s="1176"/>
      <c r="L1580" s="1177"/>
      <c r="M1580" s="750"/>
    </row>
    <row r="1581" spans="1:15" ht="20.25" hidden="1" x14ac:dyDescent="0.3">
      <c r="A1581" s="748"/>
      <c r="B1581" s="748"/>
      <c r="C1581" s="745" t="s">
        <v>1079</v>
      </c>
      <c r="D1581" s="768">
        <f t="shared" si="56"/>
        <v>8269730</v>
      </c>
      <c r="E1581" s="1736"/>
      <c r="F1581" s="1737"/>
      <c r="G1581" s="1737"/>
      <c r="H1581" s="1737"/>
      <c r="I1581" s="1176"/>
      <c r="J1581" s="1176"/>
      <c r="K1581" s="1176"/>
      <c r="L1581" s="1177"/>
      <c r="M1581" s="750"/>
    </row>
    <row r="1582" spans="1:15" ht="20.25" hidden="1" x14ac:dyDescent="0.3">
      <c r="A1582" s="748"/>
      <c r="B1582" s="748"/>
      <c r="C1582" s="745" t="s">
        <v>1080</v>
      </c>
      <c r="D1582" s="768">
        <f t="shared" si="56"/>
        <v>18812203</v>
      </c>
      <c r="E1582" s="1736"/>
      <c r="F1582" s="1737"/>
      <c r="G1582" s="1737"/>
      <c r="H1582" s="1737"/>
      <c r="I1582" s="1176"/>
      <c r="J1582" s="1176"/>
      <c r="K1582" s="1176"/>
      <c r="L1582" s="1177"/>
      <c r="M1582" s="750"/>
    </row>
    <row r="1583" spans="1:15" ht="20.25" hidden="1" x14ac:dyDescent="0.3">
      <c r="A1583" s="748"/>
      <c r="B1583" s="748"/>
      <c r="C1583" s="745" t="s">
        <v>1081</v>
      </c>
      <c r="D1583" s="768">
        <f t="shared" si="56"/>
        <v>4983039</v>
      </c>
      <c r="E1583" s="1736"/>
      <c r="F1583" s="1737"/>
      <c r="G1583" s="1737"/>
      <c r="H1583" s="1737"/>
      <c r="I1583" s="1176"/>
      <c r="J1583" s="1176"/>
      <c r="K1583" s="1176"/>
      <c r="L1583" s="1177"/>
      <c r="M1583" s="750"/>
    </row>
    <row r="1584" spans="1:15" ht="20.25" hidden="1" x14ac:dyDescent="0.3">
      <c r="A1584" s="748"/>
      <c r="B1584" s="748"/>
      <c r="C1584" s="745" t="s">
        <v>1082</v>
      </c>
      <c r="D1584" s="768">
        <f t="shared" si="56"/>
        <v>4208264</v>
      </c>
      <c r="E1584" s="1736"/>
      <c r="F1584" s="1737"/>
      <c r="G1584" s="1737"/>
      <c r="H1584" s="1737"/>
      <c r="I1584" s="1176"/>
      <c r="J1584" s="1176"/>
      <c r="K1584" s="1176"/>
      <c r="L1584" s="1177"/>
      <c r="M1584" s="750"/>
    </row>
    <row r="1585" spans="1:13" ht="20.25" hidden="1" x14ac:dyDescent="0.3">
      <c r="A1585" s="748"/>
      <c r="B1585" s="748"/>
      <c r="C1585" s="745" t="s">
        <v>1083</v>
      </c>
      <c r="D1585" s="768">
        <f t="shared" si="56"/>
        <v>4889797</v>
      </c>
      <c r="E1585" s="1736"/>
      <c r="F1585" s="1737"/>
      <c r="G1585" s="1737"/>
      <c r="H1585" s="1737"/>
      <c r="I1585" s="1176"/>
      <c r="J1585" s="1176"/>
      <c r="K1585" s="1176"/>
      <c r="L1585" s="1177"/>
      <c r="M1585" s="750"/>
    </row>
    <row r="1586" spans="1:13" ht="20.25" hidden="1" x14ac:dyDescent="0.3">
      <c r="A1586" s="748"/>
      <c r="B1586" s="748"/>
      <c r="C1586" s="745" t="s">
        <v>1084</v>
      </c>
      <c r="D1586" s="768">
        <f t="shared" si="56"/>
        <v>7828448</v>
      </c>
      <c r="E1586" s="1736"/>
      <c r="F1586" s="1737"/>
      <c r="G1586" s="1737"/>
      <c r="H1586" s="1737"/>
      <c r="I1586" s="1176"/>
      <c r="J1586" s="1176"/>
      <c r="K1586" s="1176"/>
      <c r="L1586" s="1177"/>
      <c r="M1586" s="750"/>
    </row>
    <row r="1587" spans="1:13" ht="20.25" hidden="1" x14ac:dyDescent="0.3">
      <c r="A1587" s="748"/>
      <c r="B1587" s="748"/>
      <c r="C1587" s="745" t="s">
        <v>1085</v>
      </c>
      <c r="D1587" s="768">
        <f t="shared" si="56"/>
        <v>2069887</v>
      </c>
      <c r="E1587" s="1736"/>
      <c r="F1587" s="1737"/>
      <c r="G1587" s="1737"/>
      <c r="H1587" s="1737"/>
      <c r="I1587" s="1176"/>
      <c r="J1587" s="1176"/>
      <c r="K1587" s="1176"/>
      <c r="L1587" s="1177"/>
      <c r="M1587" s="750"/>
    </row>
    <row r="1588" spans="1:13" ht="20.25" hidden="1" x14ac:dyDescent="0.3">
      <c r="A1588" s="748"/>
      <c r="B1588" s="748"/>
      <c r="C1588" s="745" t="s">
        <v>1086</v>
      </c>
      <c r="D1588" s="768">
        <f t="shared" si="56"/>
        <v>4953224</v>
      </c>
      <c r="E1588" s="1736"/>
      <c r="F1588" s="1737"/>
      <c r="G1588" s="1737"/>
      <c r="H1588" s="1737"/>
      <c r="I1588" s="1176"/>
      <c r="J1588" s="1176"/>
      <c r="K1588" s="1176"/>
      <c r="L1588" s="1177"/>
      <c r="M1588" s="750"/>
    </row>
    <row r="1589" spans="1:13" ht="20.25" hidden="1" x14ac:dyDescent="0.3">
      <c r="A1589" s="748"/>
      <c r="B1589" s="748"/>
      <c r="C1589" s="745" t="s">
        <v>1087</v>
      </c>
      <c r="D1589" s="768">
        <f t="shared" si="56"/>
        <v>5064081</v>
      </c>
      <c r="E1589" s="1736"/>
      <c r="F1589" s="1737"/>
      <c r="G1589" s="1737"/>
      <c r="H1589" s="1737"/>
      <c r="I1589" s="1176"/>
      <c r="J1589" s="1176"/>
      <c r="K1589" s="1176"/>
      <c r="L1589" s="1177"/>
      <c r="M1589" s="750"/>
    </row>
    <row r="1590" spans="1:13" ht="20.25" hidden="1" x14ac:dyDescent="0.3">
      <c r="A1590" s="748"/>
      <c r="B1590" s="748"/>
      <c r="C1590" s="745" t="s">
        <v>1088</v>
      </c>
      <c r="D1590" s="768">
        <f t="shared" si="56"/>
        <v>1661468</v>
      </c>
      <c r="E1590" s="1736"/>
      <c r="F1590" s="1737"/>
      <c r="G1590" s="1737"/>
      <c r="H1590" s="1737"/>
      <c r="I1590" s="1176"/>
      <c r="J1590" s="1176"/>
      <c r="K1590" s="1176"/>
      <c r="L1590" s="1177"/>
      <c r="M1590" s="750"/>
    </row>
    <row r="1591" spans="1:13" ht="20.25" hidden="1" x14ac:dyDescent="0.3">
      <c r="A1591" s="748"/>
      <c r="B1591" s="748"/>
      <c r="C1591" s="745" t="s">
        <v>1089</v>
      </c>
      <c r="D1591" s="768">
        <f t="shared" si="56"/>
        <v>981766</v>
      </c>
      <c r="E1591" s="1736"/>
      <c r="F1591" s="1737"/>
      <c r="G1591" s="1737"/>
      <c r="H1591" s="1737"/>
      <c r="I1591" s="1176"/>
      <c r="J1591" s="1176"/>
      <c r="K1591" s="1176"/>
      <c r="L1591" s="1177"/>
      <c r="M1591" s="750"/>
    </row>
    <row r="1592" spans="1:13" ht="20.25" hidden="1" x14ac:dyDescent="0.3">
      <c r="A1592" s="748"/>
      <c r="B1592" s="748"/>
      <c r="C1592" s="745" t="s">
        <v>1090</v>
      </c>
      <c r="D1592" s="768">
        <f t="shared" si="56"/>
        <v>2370153</v>
      </c>
      <c r="E1592" s="1736"/>
      <c r="F1592" s="1737"/>
      <c r="G1592" s="1737"/>
      <c r="H1592" s="1737"/>
      <c r="I1592" s="1176"/>
      <c r="J1592" s="1176"/>
      <c r="K1592" s="1176"/>
      <c r="L1592" s="1177"/>
      <c r="M1592" s="750"/>
    </row>
    <row r="1593" spans="1:13" ht="20.25" hidden="1" x14ac:dyDescent="0.3">
      <c r="A1593" s="748"/>
      <c r="B1593" s="748"/>
      <c r="C1593" s="745" t="s">
        <v>1091</v>
      </c>
      <c r="D1593" s="768">
        <f t="shared" si="56"/>
        <v>2529323</v>
      </c>
      <c r="E1593" s="1736"/>
      <c r="F1593" s="1737"/>
      <c r="G1593" s="1737"/>
      <c r="H1593" s="1737"/>
      <c r="I1593" s="1176"/>
      <c r="J1593" s="1176"/>
      <c r="K1593" s="1176"/>
      <c r="L1593" s="1177"/>
      <c r="M1593" s="750"/>
    </row>
    <row r="1594" spans="1:13" ht="20.25" hidden="1" x14ac:dyDescent="0.3">
      <c r="A1594" s="748"/>
      <c r="B1594" s="748"/>
      <c r="C1594" s="745" t="s">
        <v>1092</v>
      </c>
      <c r="D1594" s="768">
        <f t="shared" si="56"/>
        <v>1039019</v>
      </c>
      <c r="E1594" s="1736"/>
      <c r="F1594" s="1737"/>
      <c r="G1594" s="1737"/>
      <c r="H1594" s="1737"/>
      <c r="I1594" s="1176"/>
      <c r="J1594" s="1176"/>
      <c r="K1594" s="1176"/>
      <c r="L1594" s="1177"/>
      <c r="M1594" s="750"/>
    </row>
    <row r="1595" spans="1:13" ht="20.25" hidden="1" x14ac:dyDescent="0.3">
      <c r="A1595" s="748"/>
      <c r="B1595" s="748"/>
      <c r="C1595" s="745" t="s">
        <v>1093</v>
      </c>
      <c r="D1595" s="768">
        <f t="shared" si="56"/>
        <v>614023</v>
      </c>
      <c r="E1595" s="1736"/>
      <c r="F1595" s="1737"/>
      <c r="G1595" s="1737"/>
      <c r="H1595" s="1737"/>
      <c r="I1595" s="1176"/>
      <c r="J1595" s="1176"/>
      <c r="K1595" s="1176"/>
      <c r="L1595" s="1177"/>
      <c r="M1595" s="750"/>
    </row>
    <row r="1596" spans="1:13" ht="20.25" hidden="1" x14ac:dyDescent="0.3">
      <c r="A1596" s="748"/>
      <c r="B1596" s="748"/>
      <c r="C1596" s="745" t="s">
        <v>1094</v>
      </c>
      <c r="D1596" s="768">
        <f t="shared" si="56"/>
        <v>2123667</v>
      </c>
      <c r="E1596" s="1736"/>
      <c r="F1596" s="1737"/>
      <c r="G1596" s="1737"/>
      <c r="H1596" s="1737"/>
      <c r="I1596" s="1176"/>
      <c r="J1596" s="1176"/>
      <c r="K1596" s="1176"/>
      <c r="L1596" s="1177"/>
      <c r="M1596" s="750"/>
    </row>
    <row r="1597" spans="1:13" ht="20.25" hidden="1" x14ac:dyDescent="0.3">
      <c r="A1597" s="748"/>
      <c r="B1597" s="748"/>
      <c r="C1597" s="745" t="s">
        <v>1095</v>
      </c>
      <c r="D1597" s="768">
        <f t="shared" si="56"/>
        <v>2185243</v>
      </c>
      <c r="E1597" s="1736"/>
      <c r="F1597" s="1737"/>
      <c r="G1597" s="1737"/>
      <c r="H1597" s="1737"/>
      <c r="I1597" s="1176"/>
      <c r="J1597" s="1176"/>
      <c r="K1597" s="1176"/>
      <c r="L1597" s="1177"/>
      <c r="M1597" s="750"/>
    </row>
    <row r="1598" spans="1:13" ht="20.25" hidden="1" x14ac:dyDescent="0.3">
      <c r="A1598" s="748"/>
      <c r="B1598" s="748"/>
      <c r="C1598" s="745" t="s">
        <v>1096</v>
      </c>
      <c r="D1598" s="768">
        <f t="shared" si="56"/>
        <v>4807366</v>
      </c>
      <c r="E1598" s="1736"/>
      <c r="F1598" s="1737"/>
      <c r="G1598" s="1737"/>
      <c r="H1598" s="1737"/>
      <c r="I1598" s="1176"/>
      <c r="J1598" s="1176"/>
      <c r="K1598" s="1176"/>
      <c r="L1598" s="1177"/>
      <c r="M1598" s="750"/>
    </row>
    <row r="1599" spans="1:13" ht="20.25" hidden="1" x14ac:dyDescent="0.3">
      <c r="A1599" s="748"/>
      <c r="B1599" s="748"/>
      <c r="C1599" s="745" t="s">
        <v>1097</v>
      </c>
      <c r="D1599" s="768">
        <f t="shared" si="56"/>
        <v>3630308</v>
      </c>
      <c r="E1599" s="1736"/>
      <c r="F1599" s="1737"/>
      <c r="G1599" s="1737"/>
      <c r="H1599" s="1737"/>
      <c r="I1599" s="1176"/>
      <c r="J1599" s="1176"/>
      <c r="K1599" s="1176"/>
      <c r="L1599" s="1177"/>
      <c r="M1599" s="750"/>
    </row>
    <row r="1600" spans="1:13" ht="20.25" hidden="1" x14ac:dyDescent="0.3">
      <c r="A1600" s="748"/>
      <c r="B1600" s="748"/>
      <c r="C1600" s="745" t="s">
        <v>1098</v>
      </c>
      <c r="D1600" s="768">
        <f t="shared" si="56"/>
        <v>2514351</v>
      </c>
      <c r="E1600" s="1736"/>
      <c r="F1600" s="1737"/>
      <c r="G1600" s="1737"/>
      <c r="H1600" s="1737"/>
      <c r="I1600" s="1176"/>
      <c r="J1600" s="1176"/>
      <c r="K1600" s="1176"/>
      <c r="L1600" s="1177"/>
      <c r="M1600" s="750"/>
    </row>
    <row r="1601" spans="1:13" ht="20.25" hidden="1" x14ac:dyDescent="0.3">
      <c r="A1601" s="748"/>
      <c r="B1601" s="748"/>
      <c r="C1601" s="745" t="s">
        <v>1099</v>
      </c>
      <c r="D1601" s="768">
        <f t="shared" si="56"/>
        <v>9093780</v>
      </c>
      <c r="E1601" s="1736"/>
      <c r="F1601" s="1737"/>
      <c r="G1601" s="1737"/>
      <c r="H1601" s="1737"/>
      <c r="I1601" s="1176"/>
      <c r="J1601" s="1176"/>
      <c r="K1601" s="1176"/>
      <c r="L1601" s="1177"/>
      <c r="M1601" s="750"/>
    </row>
    <row r="1602" spans="1:13" ht="20.25" hidden="1" x14ac:dyDescent="0.3">
      <c r="A1602" s="748"/>
      <c r="B1602" s="748"/>
      <c r="C1602" s="745" t="s">
        <v>1100</v>
      </c>
      <c r="D1602" s="768">
        <f t="shared" ref="D1602:D1633" si="57">D39+D179+D321+D531+D947+D805+D1018+D1089+D250+D461+D109+D392+D598+D666+D734+D876</f>
        <v>8065813</v>
      </c>
      <c r="E1602" s="1736"/>
      <c r="F1602" s="1737"/>
      <c r="G1602" s="1737"/>
      <c r="H1602" s="1737"/>
      <c r="I1602" s="1176"/>
      <c r="J1602" s="1176"/>
      <c r="K1602" s="1176"/>
      <c r="L1602" s="1177"/>
      <c r="M1602" s="750"/>
    </row>
    <row r="1603" spans="1:13" ht="20.25" hidden="1" x14ac:dyDescent="0.3">
      <c r="A1603" s="748"/>
      <c r="B1603" s="748"/>
      <c r="C1603" s="745" t="s">
        <v>1101</v>
      </c>
      <c r="D1603" s="768">
        <f t="shared" si="57"/>
        <v>2760087</v>
      </c>
      <c r="E1603" s="1736"/>
      <c r="F1603" s="1737"/>
      <c r="G1603" s="1737"/>
      <c r="H1603" s="1737"/>
      <c r="I1603" s="1176"/>
      <c r="J1603" s="1176"/>
      <c r="K1603" s="1176"/>
      <c r="L1603" s="1177"/>
      <c r="M1603" s="750"/>
    </row>
    <row r="1604" spans="1:13" ht="20.25" hidden="1" x14ac:dyDescent="0.3">
      <c r="A1604" s="748"/>
      <c r="B1604" s="748"/>
      <c r="C1604" s="745" t="s">
        <v>1102</v>
      </c>
      <c r="D1604" s="768">
        <f t="shared" si="57"/>
        <v>1528335</v>
      </c>
      <c r="E1604" s="1736"/>
      <c r="F1604" s="1737"/>
      <c r="G1604" s="1737"/>
      <c r="H1604" s="1737"/>
      <c r="I1604" s="1176"/>
      <c r="J1604" s="1176"/>
      <c r="K1604" s="1176"/>
      <c r="L1604" s="1177"/>
      <c r="M1604" s="750"/>
    </row>
    <row r="1605" spans="1:13" ht="20.25" hidden="1" x14ac:dyDescent="0.3">
      <c r="A1605" s="748"/>
      <c r="B1605" s="748"/>
      <c r="C1605" s="745" t="s">
        <v>1103</v>
      </c>
      <c r="D1605" s="768">
        <f t="shared" si="57"/>
        <v>3375004</v>
      </c>
      <c r="E1605" s="1736"/>
      <c r="F1605" s="1737"/>
      <c r="G1605" s="1737"/>
      <c r="H1605" s="1737"/>
      <c r="I1605" s="1176"/>
      <c r="J1605" s="1176"/>
      <c r="K1605" s="1176"/>
      <c r="L1605" s="1177"/>
      <c r="M1605" s="750"/>
    </row>
    <row r="1606" spans="1:13" ht="20.25" hidden="1" x14ac:dyDescent="0.3">
      <c r="A1606" s="748"/>
      <c r="B1606" s="748"/>
      <c r="C1606" s="745" t="s">
        <v>1104</v>
      </c>
      <c r="D1606" s="768">
        <f t="shared" si="57"/>
        <v>9956104</v>
      </c>
      <c r="E1606" s="1736"/>
      <c r="F1606" s="1737"/>
      <c r="G1606" s="1737"/>
      <c r="H1606" s="1737"/>
      <c r="I1606" s="1176"/>
      <c r="J1606" s="1176"/>
      <c r="K1606" s="1176"/>
      <c r="L1606" s="1177"/>
      <c r="M1606" s="750"/>
    </row>
    <row r="1607" spans="1:13" ht="20.25" hidden="1" x14ac:dyDescent="0.3">
      <c r="A1607" s="748"/>
      <c r="B1607" s="748"/>
      <c r="C1607" s="745" t="s">
        <v>1105</v>
      </c>
      <c r="D1607" s="768">
        <f t="shared" si="57"/>
        <v>2572641</v>
      </c>
      <c r="E1607" s="1736"/>
      <c r="F1607" s="1737"/>
      <c r="G1607" s="1737"/>
      <c r="H1607" s="1737"/>
      <c r="I1607" s="1176"/>
      <c r="J1607" s="1176"/>
      <c r="K1607" s="1176"/>
      <c r="L1607" s="1177"/>
      <c r="M1607" s="750"/>
    </row>
    <row r="1608" spans="1:13" ht="20.25" hidden="1" x14ac:dyDescent="0.3">
      <c r="A1608" s="748"/>
      <c r="B1608" s="748"/>
      <c r="C1608" s="745" t="s">
        <v>1106</v>
      </c>
      <c r="D1608" s="768">
        <f t="shared" si="57"/>
        <v>4994837</v>
      </c>
      <c r="E1608" s="1736"/>
      <c r="F1608" s="1737"/>
      <c r="G1608" s="1737"/>
      <c r="H1608" s="1737"/>
      <c r="I1608" s="1176"/>
      <c r="J1608" s="1176"/>
      <c r="K1608" s="1176"/>
      <c r="L1608" s="1177"/>
      <c r="M1608" s="750"/>
    </row>
    <row r="1609" spans="1:13" ht="20.25" hidden="1" x14ac:dyDescent="0.3">
      <c r="A1609" s="748"/>
      <c r="B1609" s="748"/>
      <c r="C1609" s="745" t="s">
        <v>1107</v>
      </c>
      <c r="D1609" s="768">
        <f t="shared" si="57"/>
        <v>7328506</v>
      </c>
      <c r="E1609" s="1736"/>
      <c r="F1609" s="1737"/>
      <c r="G1609" s="1737"/>
      <c r="H1609" s="1737"/>
      <c r="I1609" s="1176"/>
      <c r="J1609" s="1176"/>
      <c r="K1609" s="1176"/>
      <c r="L1609" s="1177"/>
      <c r="M1609" s="750"/>
    </row>
    <row r="1610" spans="1:13" ht="20.25" hidden="1" x14ac:dyDescent="0.3">
      <c r="A1610" s="748"/>
      <c r="B1610" s="748"/>
      <c r="C1610" s="745" t="s">
        <v>1108</v>
      </c>
      <c r="D1610" s="768">
        <f t="shared" si="57"/>
        <v>2146823</v>
      </c>
      <c r="E1610" s="1736"/>
      <c r="F1610" s="1737"/>
      <c r="G1610" s="1737"/>
      <c r="H1610" s="1737"/>
      <c r="I1610" s="1176"/>
      <c r="J1610" s="1176"/>
      <c r="K1610" s="1176"/>
      <c r="L1610" s="1177"/>
      <c r="M1610" s="750"/>
    </row>
    <row r="1611" spans="1:13" ht="20.25" hidden="1" x14ac:dyDescent="0.3">
      <c r="A1611" s="748"/>
      <c r="B1611" s="748"/>
      <c r="C1611" s="745" t="s">
        <v>1109</v>
      </c>
      <c r="D1611" s="768">
        <f t="shared" si="57"/>
        <v>864385</v>
      </c>
      <c r="E1611" s="1736"/>
      <c r="F1611" s="1737"/>
      <c r="G1611" s="1737"/>
      <c r="H1611" s="1737"/>
      <c r="I1611" s="1176"/>
      <c r="J1611" s="1176"/>
      <c r="K1611" s="1176"/>
      <c r="L1611" s="1177"/>
      <c r="M1611" s="750"/>
    </row>
    <row r="1612" spans="1:13" ht="20.25" hidden="1" x14ac:dyDescent="0.3">
      <c r="A1612" s="748"/>
      <c r="B1612" s="748"/>
      <c r="C1612" s="745" t="s">
        <v>1110</v>
      </c>
      <c r="D1612" s="768">
        <f t="shared" si="57"/>
        <v>1471279</v>
      </c>
      <c r="E1612" s="1736"/>
      <c r="F1612" s="1737"/>
      <c r="G1612" s="1737"/>
      <c r="H1612" s="1737"/>
      <c r="I1612" s="1176"/>
      <c r="J1612" s="1176"/>
      <c r="K1612" s="1176"/>
      <c r="L1612" s="1177"/>
      <c r="M1612" s="750"/>
    </row>
    <row r="1613" spans="1:13" ht="20.25" hidden="1" x14ac:dyDescent="0.3">
      <c r="A1613" s="748"/>
      <c r="B1613" s="748"/>
      <c r="C1613" s="745" t="s">
        <v>1111</v>
      </c>
      <c r="D1613" s="768">
        <f t="shared" si="57"/>
        <v>1482142</v>
      </c>
      <c r="E1613" s="1736"/>
      <c r="F1613" s="1737"/>
      <c r="G1613" s="1737"/>
      <c r="H1613" s="1737"/>
      <c r="I1613" s="1176"/>
      <c r="J1613" s="1176"/>
      <c r="K1613" s="1176"/>
      <c r="L1613" s="1177"/>
      <c r="M1613" s="750"/>
    </row>
    <row r="1614" spans="1:13" ht="20.25" hidden="1" x14ac:dyDescent="0.3">
      <c r="A1614" s="748"/>
      <c r="B1614" s="748"/>
      <c r="C1614" s="745" t="s">
        <v>1112</v>
      </c>
      <c r="D1614" s="768">
        <f t="shared" si="57"/>
        <v>4146430</v>
      </c>
      <c r="E1614" s="1736"/>
      <c r="F1614" s="1737"/>
      <c r="G1614" s="1737"/>
      <c r="H1614" s="1737"/>
      <c r="I1614" s="1176"/>
      <c r="J1614" s="1176"/>
      <c r="K1614" s="1176"/>
      <c r="L1614" s="1177"/>
      <c r="M1614" s="750"/>
    </row>
    <row r="1615" spans="1:13" ht="20.25" hidden="1" x14ac:dyDescent="0.3">
      <c r="A1615" s="748"/>
      <c r="B1615" s="748"/>
      <c r="C1615" s="745" t="s">
        <v>1113</v>
      </c>
      <c r="D1615" s="768">
        <f t="shared" si="57"/>
        <v>5360475</v>
      </c>
      <c r="E1615" s="1736"/>
      <c r="F1615" s="1737"/>
      <c r="G1615" s="1737"/>
      <c r="H1615" s="1737"/>
      <c r="I1615" s="1176"/>
      <c r="J1615" s="1176"/>
      <c r="K1615" s="1176"/>
      <c r="L1615" s="1177"/>
      <c r="M1615" s="750"/>
    </row>
    <row r="1616" spans="1:13" ht="20.25" hidden="1" x14ac:dyDescent="0.3">
      <c r="A1616" s="748"/>
      <c r="B1616" s="748"/>
      <c r="C1616" s="745" t="s">
        <v>1114</v>
      </c>
      <c r="D1616" s="768">
        <f t="shared" si="57"/>
        <v>6011721</v>
      </c>
      <c r="E1616" s="1736"/>
      <c r="F1616" s="1737"/>
      <c r="G1616" s="1737"/>
      <c r="H1616" s="1737"/>
      <c r="I1616" s="1176"/>
      <c r="J1616" s="1176"/>
      <c r="K1616" s="1176"/>
      <c r="L1616" s="1177"/>
      <c r="M1616" s="750"/>
    </row>
    <row r="1617" spans="1:13" ht="20.25" hidden="1" x14ac:dyDescent="0.3">
      <c r="A1617" s="748"/>
      <c r="B1617" s="748"/>
      <c r="C1617" s="745" t="s">
        <v>1115</v>
      </c>
      <c r="D1617" s="768">
        <f t="shared" si="57"/>
        <v>1229433</v>
      </c>
      <c r="E1617" s="1736"/>
      <c r="F1617" s="1737"/>
      <c r="G1617" s="1737"/>
      <c r="H1617" s="1737"/>
      <c r="I1617" s="1176"/>
      <c r="J1617" s="1176"/>
      <c r="K1617" s="1176"/>
      <c r="L1617" s="1177"/>
      <c r="M1617" s="750"/>
    </row>
    <row r="1618" spans="1:13" ht="20.25" hidden="1" x14ac:dyDescent="0.3">
      <c r="A1618" s="748"/>
      <c r="B1618" s="748"/>
      <c r="C1618" s="745" t="s">
        <v>1116</v>
      </c>
      <c r="D1618" s="768">
        <f t="shared" si="57"/>
        <v>77761990</v>
      </c>
      <c r="E1618" s="1736"/>
      <c r="F1618" s="1737"/>
      <c r="G1618" s="1737"/>
      <c r="H1618" s="1737"/>
      <c r="I1618" s="1176"/>
      <c r="J1618" s="1176"/>
      <c r="K1618" s="1176"/>
      <c r="L1618" s="1177"/>
      <c r="M1618" s="750"/>
    </row>
    <row r="1619" spans="1:13" ht="20.25" hidden="1" x14ac:dyDescent="0.3">
      <c r="A1619" s="748"/>
      <c r="B1619" s="748"/>
      <c r="C1619" s="745" t="s">
        <v>1117</v>
      </c>
      <c r="D1619" s="768">
        <f t="shared" si="57"/>
        <v>18930506</v>
      </c>
      <c r="E1619" s="1736"/>
      <c r="F1619" s="1737"/>
      <c r="G1619" s="1737"/>
      <c r="H1619" s="1737"/>
      <c r="I1619" s="1176"/>
      <c r="J1619" s="1176"/>
      <c r="K1619" s="1176"/>
      <c r="L1619" s="1177"/>
      <c r="M1619" s="750"/>
    </row>
    <row r="1620" spans="1:13" ht="20.25" hidden="1" x14ac:dyDescent="0.3">
      <c r="A1620" s="748"/>
      <c r="B1620" s="748"/>
      <c r="C1620" s="745" t="s">
        <v>1119</v>
      </c>
      <c r="D1620" s="768">
        <f t="shared" si="57"/>
        <v>1462316</v>
      </c>
      <c r="E1620" s="1736"/>
      <c r="F1620" s="1737"/>
      <c r="G1620" s="1737"/>
      <c r="H1620" s="1737"/>
      <c r="I1620" s="1176"/>
      <c r="J1620" s="1176"/>
      <c r="K1620" s="1176"/>
      <c r="L1620" s="1177"/>
      <c r="M1620" s="750"/>
    </row>
    <row r="1621" spans="1:13" ht="20.25" hidden="1" x14ac:dyDescent="0.3">
      <c r="A1621" s="748"/>
      <c r="B1621" s="748"/>
      <c r="C1621" s="745" t="s">
        <v>1121</v>
      </c>
      <c r="D1621" s="768">
        <f t="shared" si="57"/>
        <v>1615214</v>
      </c>
      <c r="E1621" s="1736"/>
      <c r="F1621" s="1737"/>
      <c r="G1621" s="1737"/>
      <c r="H1621" s="1737"/>
      <c r="I1621" s="1176"/>
      <c r="J1621" s="1176"/>
      <c r="K1621" s="1176"/>
      <c r="L1621" s="1177"/>
      <c r="M1621" s="750"/>
    </row>
    <row r="1622" spans="1:13" ht="20.25" hidden="1" x14ac:dyDescent="0.3">
      <c r="A1622" s="748"/>
      <c r="B1622" s="748"/>
      <c r="C1622" s="745" t="s">
        <v>1123</v>
      </c>
      <c r="D1622" s="768">
        <f t="shared" si="57"/>
        <v>1987466</v>
      </c>
      <c r="E1622" s="1736"/>
      <c r="F1622" s="1737"/>
      <c r="G1622" s="1737"/>
      <c r="H1622" s="1737"/>
      <c r="I1622" s="1176"/>
      <c r="J1622" s="1176"/>
      <c r="K1622" s="1176"/>
      <c r="L1622" s="1177"/>
      <c r="M1622" s="750"/>
    </row>
    <row r="1623" spans="1:13" ht="20.25" hidden="1" x14ac:dyDescent="0.3">
      <c r="A1623" s="748"/>
      <c r="B1623" s="748"/>
      <c r="C1623" s="745" t="s">
        <v>1125</v>
      </c>
      <c r="D1623" s="768">
        <f t="shared" si="57"/>
        <v>5911085</v>
      </c>
      <c r="E1623" s="1736"/>
      <c r="F1623" s="1737"/>
      <c r="G1623" s="1737"/>
      <c r="H1623" s="1737"/>
      <c r="I1623" s="1176"/>
      <c r="J1623" s="1176"/>
      <c r="K1623" s="1176"/>
      <c r="L1623" s="1177"/>
      <c r="M1623" s="750"/>
    </row>
    <row r="1624" spans="1:13" ht="20.25" hidden="1" x14ac:dyDescent="0.3">
      <c r="A1624" s="748"/>
      <c r="B1624" s="748"/>
      <c r="C1624" s="745" t="s">
        <v>1127</v>
      </c>
      <c r="D1624" s="768">
        <f t="shared" si="57"/>
        <v>16599855</v>
      </c>
      <c r="E1624" s="1736"/>
      <c r="F1624" s="1737"/>
      <c r="G1624" s="1737"/>
      <c r="H1624" s="1737"/>
      <c r="I1624" s="1176"/>
      <c r="J1624" s="1176"/>
      <c r="K1624" s="1176"/>
      <c r="L1624" s="1177"/>
      <c r="M1624" s="750"/>
    </row>
    <row r="1625" spans="1:13" ht="20.25" hidden="1" x14ac:dyDescent="0.3">
      <c r="A1625" s="748"/>
      <c r="B1625" s="748"/>
      <c r="C1625" s="745" t="s">
        <v>1129</v>
      </c>
      <c r="D1625" s="768">
        <f t="shared" si="57"/>
        <v>2195959</v>
      </c>
      <c r="E1625" s="1736"/>
      <c r="F1625" s="1737"/>
      <c r="G1625" s="1737"/>
      <c r="H1625" s="1737"/>
      <c r="I1625" s="1176"/>
      <c r="J1625" s="1176"/>
      <c r="K1625" s="1176"/>
      <c r="L1625" s="1177"/>
      <c r="M1625" s="750"/>
    </row>
    <row r="1626" spans="1:13" ht="20.25" hidden="1" x14ac:dyDescent="0.3">
      <c r="A1626" s="748"/>
      <c r="B1626" s="748"/>
      <c r="C1626" s="745" t="s">
        <v>1131</v>
      </c>
      <c r="D1626" s="768">
        <f t="shared" si="57"/>
        <v>1341249</v>
      </c>
      <c r="E1626" s="1736"/>
      <c r="F1626" s="1737"/>
      <c r="G1626" s="1737"/>
      <c r="H1626" s="1737"/>
      <c r="I1626" s="1176"/>
      <c r="J1626" s="1176"/>
      <c r="K1626" s="1176"/>
      <c r="L1626" s="1177"/>
      <c r="M1626" s="750"/>
    </row>
    <row r="1627" spans="1:13" ht="20.25" hidden="1" x14ac:dyDescent="0.3">
      <c r="A1627" s="748"/>
      <c r="B1627" s="748"/>
      <c r="C1627" s="745" t="s">
        <v>1133</v>
      </c>
      <c r="D1627" s="768">
        <f t="shared" si="57"/>
        <v>1339042</v>
      </c>
      <c r="E1627" s="1736"/>
      <c r="F1627" s="1737"/>
      <c r="G1627" s="1737"/>
      <c r="H1627" s="1737"/>
      <c r="I1627" s="1176"/>
      <c r="J1627" s="1176"/>
      <c r="K1627" s="1176"/>
      <c r="L1627" s="1177"/>
      <c r="M1627" s="750"/>
    </row>
    <row r="1628" spans="1:13" ht="20.25" hidden="1" x14ac:dyDescent="0.3">
      <c r="A1628" s="748"/>
      <c r="B1628" s="748"/>
      <c r="C1628" s="745" t="s">
        <v>1135</v>
      </c>
      <c r="D1628" s="768">
        <f t="shared" si="57"/>
        <v>894496</v>
      </c>
      <c r="E1628" s="1736"/>
      <c r="F1628" s="1737"/>
      <c r="G1628" s="1737"/>
      <c r="H1628" s="1737"/>
      <c r="I1628" s="1176"/>
      <c r="J1628" s="1176"/>
      <c r="K1628" s="1176"/>
      <c r="L1628" s="1177"/>
      <c r="M1628" s="750"/>
    </row>
    <row r="1629" spans="1:13" ht="20.25" hidden="1" x14ac:dyDescent="0.3">
      <c r="A1629" s="748"/>
      <c r="B1629" s="748"/>
      <c r="C1629" s="745" t="s">
        <v>1137</v>
      </c>
      <c r="D1629" s="768">
        <f t="shared" si="57"/>
        <v>18658058</v>
      </c>
      <c r="E1629" s="1736"/>
      <c r="F1629" s="1737"/>
      <c r="G1629" s="1737"/>
      <c r="H1629" s="1737"/>
      <c r="I1629" s="1176"/>
      <c r="J1629" s="1176"/>
      <c r="K1629" s="1176"/>
      <c r="L1629" s="1177"/>
      <c r="M1629" s="750"/>
    </row>
    <row r="1630" spans="1:13" ht="20.25" hidden="1" x14ac:dyDescent="0.3">
      <c r="A1630" s="748"/>
      <c r="B1630" s="748"/>
      <c r="C1630" s="745" t="s">
        <v>1139</v>
      </c>
      <c r="D1630" s="768">
        <f t="shared" si="57"/>
        <v>10388407</v>
      </c>
      <c r="E1630" s="1736"/>
      <c r="F1630" s="1737"/>
      <c r="G1630" s="1737"/>
      <c r="H1630" s="1737"/>
      <c r="I1630" s="1176"/>
      <c r="J1630" s="1176"/>
      <c r="K1630" s="1176"/>
      <c r="L1630" s="1177"/>
      <c r="M1630" s="750"/>
    </row>
    <row r="1631" spans="1:13" ht="20.25" hidden="1" x14ac:dyDescent="0.3">
      <c r="A1631" s="748"/>
      <c r="B1631" s="748"/>
      <c r="C1631" s="745" t="s">
        <v>1141</v>
      </c>
      <c r="D1631" s="768">
        <f t="shared" si="57"/>
        <v>8193911</v>
      </c>
      <c r="E1631" s="1736"/>
      <c r="F1631" s="1737"/>
      <c r="G1631" s="1737"/>
      <c r="H1631" s="1737"/>
      <c r="I1631" s="1176"/>
      <c r="J1631" s="1176"/>
      <c r="K1631" s="1176"/>
      <c r="L1631" s="1177"/>
      <c r="M1631" s="750"/>
    </row>
    <row r="1632" spans="1:13" ht="20.25" hidden="1" x14ac:dyDescent="0.3">
      <c r="A1632" s="748"/>
      <c r="B1632" s="748"/>
      <c r="C1632" s="745" t="s">
        <v>1143</v>
      </c>
      <c r="D1632" s="768">
        <f t="shared" si="57"/>
        <v>6546889</v>
      </c>
      <c r="E1632" s="1736"/>
      <c r="F1632" s="1737"/>
      <c r="G1632" s="1737"/>
      <c r="H1632" s="1737"/>
      <c r="I1632" s="1176"/>
      <c r="J1632" s="1176"/>
      <c r="K1632" s="1176"/>
      <c r="L1632" s="1177"/>
      <c r="M1632" s="750"/>
    </row>
    <row r="1633" spans="1:15" ht="20.25" hidden="1" x14ac:dyDescent="0.3">
      <c r="A1633" s="748"/>
      <c r="B1633" s="748"/>
      <c r="C1633" s="745" t="s">
        <v>1145</v>
      </c>
      <c r="D1633" s="768">
        <f t="shared" si="57"/>
        <v>6121653</v>
      </c>
      <c r="E1633" s="1736"/>
      <c r="F1633" s="1737"/>
      <c r="G1633" s="1737"/>
      <c r="H1633" s="1737"/>
      <c r="I1633" s="1176"/>
      <c r="J1633" s="1176"/>
      <c r="K1633" s="1176"/>
      <c r="L1633" s="1177"/>
      <c r="M1633" s="750"/>
    </row>
    <row r="1634" spans="1:15" ht="20.25" hidden="1" x14ac:dyDescent="0.3">
      <c r="A1634" s="748"/>
      <c r="B1634" s="748"/>
      <c r="C1634" s="745" t="s">
        <v>1147</v>
      </c>
      <c r="D1634" s="768">
        <f>D71+D211+D353+D563+D979+D837+D1050+D1121+D282+D493+D141+D424+D630+D698+D766+D908</f>
        <v>6430633</v>
      </c>
      <c r="E1634" s="1736"/>
      <c r="F1634" s="1737"/>
      <c r="G1634" s="1737"/>
      <c r="H1634" s="1737"/>
      <c r="I1634" s="1176"/>
      <c r="J1634" s="1176"/>
      <c r="K1634" s="1176"/>
      <c r="L1634" s="1177"/>
      <c r="M1634" s="750"/>
    </row>
    <row r="1635" spans="1:15" ht="20.25" hidden="1" x14ac:dyDescent="0.3">
      <c r="A1635" s="748"/>
      <c r="B1635" s="748"/>
      <c r="C1635" s="745" t="s">
        <v>1149</v>
      </c>
      <c r="D1635" s="768">
        <f>D72+D212+D354+D564+D980+D838+D1051+D1122+D283+D494+D142+D425+D631+D699+D767+D909</f>
        <v>2054408</v>
      </c>
      <c r="E1635" s="1736"/>
      <c r="F1635" s="1737"/>
      <c r="G1635" s="1737"/>
      <c r="H1635" s="1737"/>
      <c r="I1635" s="1176"/>
      <c r="J1635" s="1176"/>
      <c r="K1635" s="1176"/>
      <c r="L1635" s="1177"/>
      <c r="M1635" s="750"/>
    </row>
    <row r="1636" spans="1:15" ht="20.25" hidden="1" x14ac:dyDescent="0.3">
      <c r="A1636" s="748"/>
      <c r="B1636" s="748"/>
      <c r="C1636" s="745" t="s">
        <v>1756</v>
      </c>
      <c r="D1636" s="768">
        <f>D1124+D1126+D1128+D1130</f>
        <v>12919805</v>
      </c>
      <c r="E1636" s="1736"/>
      <c r="F1636" s="1737"/>
      <c r="G1636" s="1737"/>
      <c r="H1636" s="1737"/>
      <c r="I1636" s="1176"/>
      <c r="J1636" s="1176"/>
      <c r="K1636" s="1176"/>
      <c r="L1636" s="1177"/>
      <c r="M1636" s="750"/>
    </row>
    <row r="1637" spans="1:15" ht="20.25" x14ac:dyDescent="0.3">
      <c r="A1637" s="777" t="s">
        <v>746</v>
      </c>
      <c r="B1637" s="777" t="s">
        <v>746</v>
      </c>
      <c r="C1637" s="778" t="s">
        <v>115</v>
      </c>
      <c r="D1637" s="1102">
        <f>D1133+D1274+D1415+D1486+D1559+D1565+D1344+D1204+D1557+D1561+D1563</f>
        <v>93658556</v>
      </c>
      <c r="E1637" s="1207"/>
      <c r="F1637" s="1326"/>
      <c r="G1637" s="1760"/>
      <c r="H1637" s="1760"/>
      <c r="I1637" s="1326"/>
      <c r="J1637" s="1326"/>
      <c r="K1637" s="1326"/>
      <c r="L1637" s="1208"/>
      <c r="M1637" s="1378">
        <f>SUM(D1637:H1637)</f>
        <v>93658556</v>
      </c>
    </row>
    <row r="1638" spans="1:15" ht="20.25" hidden="1" x14ac:dyDescent="0.3">
      <c r="A1638" s="748"/>
      <c r="B1638" s="748"/>
      <c r="C1638" s="85" t="s">
        <v>168</v>
      </c>
      <c r="D1638" s="768">
        <f>D1485+D1203+D1414+D1273</f>
        <v>0</v>
      </c>
      <c r="E1638" s="1736"/>
      <c r="F1638" s="1737"/>
      <c r="G1638" s="1737"/>
      <c r="H1638" s="1737"/>
      <c r="I1638" s="1176"/>
      <c r="J1638" s="1176"/>
      <c r="K1638" s="1176"/>
      <c r="L1638" s="1177"/>
      <c r="M1638" s="1378">
        <f>D1637-M1637</f>
        <v>0</v>
      </c>
    </row>
    <row r="1639" spans="1:15" ht="18.75" hidden="1" x14ac:dyDescent="0.3">
      <c r="A1639" s="749"/>
      <c r="B1639" s="749"/>
      <c r="C1639" s="745" t="s">
        <v>1060</v>
      </c>
      <c r="D1639" s="768">
        <f>D1277+D1137+D1419+D1490+D1348+D1207</f>
        <v>80000</v>
      </c>
      <c r="E1639" s="1736"/>
      <c r="F1639" s="1737"/>
      <c r="G1639" s="1737"/>
      <c r="H1639" s="1737"/>
      <c r="I1639" s="1176"/>
      <c r="J1639" s="1176"/>
      <c r="K1639" s="1176"/>
      <c r="L1639" s="1177"/>
      <c r="M1639" s="750"/>
    </row>
    <row r="1640" spans="1:15" ht="18.75" hidden="1" x14ac:dyDescent="0.3">
      <c r="A1640" s="749"/>
      <c r="B1640" s="749"/>
      <c r="C1640" s="745" t="s">
        <v>1069</v>
      </c>
      <c r="D1640" s="768">
        <f t="shared" ref="D1640:D1703" si="58">D1278+D1138+D1420+D1491+D1349+D1208</f>
        <v>250000</v>
      </c>
      <c r="E1640" s="1736"/>
      <c r="F1640" s="1737"/>
      <c r="G1640" s="1737"/>
      <c r="H1640" s="1737"/>
      <c r="I1640" s="1176"/>
      <c r="J1640" s="1176"/>
      <c r="K1640" s="1176"/>
      <c r="L1640" s="1177"/>
      <c r="M1640" s="750"/>
    </row>
    <row r="1641" spans="1:15" ht="18.75" hidden="1" x14ac:dyDescent="0.3">
      <c r="A1641" s="749"/>
      <c r="B1641" s="749"/>
      <c r="C1641" s="745" t="s">
        <v>1070</v>
      </c>
      <c r="D1641" s="768">
        <f t="shared" si="58"/>
        <v>0</v>
      </c>
      <c r="E1641" s="1736"/>
      <c r="F1641" s="1737"/>
      <c r="G1641" s="1737"/>
      <c r="H1641" s="1737"/>
      <c r="I1641" s="1176"/>
      <c r="J1641" s="1176"/>
      <c r="K1641" s="1176"/>
      <c r="L1641" s="1177"/>
      <c r="M1641" s="750"/>
    </row>
    <row r="1642" spans="1:15" ht="18.75" hidden="1" x14ac:dyDescent="0.3">
      <c r="A1642" s="749"/>
      <c r="B1642" s="749"/>
      <c r="C1642" s="745" t="s">
        <v>1071</v>
      </c>
      <c r="D1642" s="768">
        <f t="shared" si="58"/>
        <v>190000</v>
      </c>
      <c r="E1642" s="1736"/>
      <c r="F1642" s="1737"/>
      <c r="G1642" s="1737"/>
      <c r="H1642" s="1737"/>
      <c r="I1642" s="1176"/>
      <c r="J1642" s="1176"/>
      <c r="K1642" s="1176"/>
      <c r="L1642" s="1177"/>
      <c r="M1642" s="750"/>
    </row>
    <row r="1643" spans="1:15" s="512" customFormat="1" ht="18.75" hidden="1" x14ac:dyDescent="0.3">
      <c r="A1643" s="749"/>
      <c r="B1643" s="749"/>
      <c r="C1643" s="745" t="s">
        <v>1072</v>
      </c>
      <c r="D1643" s="768">
        <f t="shared" si="58"/>
        <v>646000</v>
      </c>
      <c r="E1643" s="1736"/>
      <c r="F1643" s="1737"/>
      <c r="G1643" s="1737"/>
      <c r="H1643" s="1737"/>
      <c r="I1643" s="1176"/>
      <c r="J1643" s="1176"/>
      <c r="K1643" s="1176"/>
      <c r="L1643" s="1177"/>
      <c r="M1643" s="750"/>
      <c r="O1643" s="824"/>
    </row>
    <row r="1644" spans="1:15" s="512" customFormat="1" ht="18.75" hidden="1" x14ac:dyDescent="0.3">
      <c r="A1644" s="749"/>
      <c r="B1644" s="749"/>
      <c r="C1644" s="745" t="s">
        <v>1073</v>
      </c>
      <c r="D1644" s="768">
        <f t="shared" si="58"/>
        <v>50000</v>
      </c>
      <c r="E1644" s="1736"/>
      <c r="F1644" s="1737"/>
      <c r="G1644" s="1737"/>
      <c r="H1644" s="1737"/>
      <c r="I1644" s="1176"/>
      <c r="J1644" s="1176"/>
      <c r="K1644" s="1176"/>
      <c r="L1644" s="1177"/>
      <c r="M1644" s="750"/>
      <c r="O1644" s="824"/>
    </row>
    <row r="1645" spans="1:15" s="512" customFormat="1" ht="18.75" hidden="1" x14ac:dyDescent="0.3">
      <c r="A1645" s="749"/>
      <c r="B1645" s="749"/>
      <c r="C1645" s="745" t="s">
        <v>1074</v>
      </c>
      <c r="D1645" s="768">
        <f t="shared" si="58"/>
        <v>100000</v>
      </c>
      <c r="E1645" s="1736"/>
      <c r="F1645" s="1737"/>
      <c r="G1645" s="1737"/>
      <c r="H1645" s="1737"/>
      <c r="I1645" s="1176"/>
      <c r="J1645" s="1176"/>
      <c r="K1645" s="1176"/>
      <c r="L1645" s="1177"/>
      <c r="M1645" s="750"/>
      <c r="O1645" s="824"/>
    </row>
    <row r="1646" spans="1:15" ht="18.75" hidden="1" x14ac:dyDescent="0.3">
      <c r="A1646" s="749"/>
      <c r="B1646" s="749"/>
      <c r="C1646" s="745" t="s">
        <v>1075</v>
      </c>
      <c r="D1646" s="768">
        <f t="shared" si="58"/>
        <v>226000</v>
      </c>
      <c r="E1646" s="1736"/>
      <c r="F1646" s="1737"/>
      <c r="G1646" s="1737"/>
      <c r="H1646" s="1737"/>
      <c r="I1646" s="1176"/>
      <c r="J1646" s="1176"/>
      <c r="K1646" s="1176"/>
      <c r="L1646" s="1177"/>
      <c r="M1646" s="750"/>
    </row>
    <row r="1647" spans="1:15" ht="18.75" hidden="1" x14ac:dyDescent="0.3">
      <c r="A1647" s="749"/>
      <c r="B1647" s="749"/>
      <c r="C1647" s="745" t="s">
        <v>1076</v>
      </c>
      <c r="D1647" s="768">
        <f t="shared" si="58"/>
        <v>0</v>
      </c>
      <c r="E1647" s="1736"/>
      <c r="F1647" s="1737"/>
      <c r="G1647" s="1737"/>
      <c r="H1647" s="1737"/>
      <c r="I1647" s="1176"/>
      <c r="J1647" s="1176"/>
      <c r="K1647" s="1176"/>
      <c r="L1647" s="1177"/>
      <c r="M1647" s="750"/>
    </row>
    <row r="1648" spans="1:15" ht="18.75" hidden="1" x14ac:dyDescent="0.3">
      <c r="A1648" s="749"/>
      <c r="B1648" s="749"/>
      <c r="C1648" s="745" t="s">
        <v>1077</v>
      </c>
      <c r="D1648" s="768">
        <f t="shared" si="58"/>
        <v>0</v>
      </c>
      <c r="E1648" s="1736"/>
      <c r="F1648" s="1737"/>
      <c r="G1648" s="1737"/>
      <c r="H1648" s="1737"/>
      <c r="I1648" s="1176"/>
      <c r="J1648" s="1176"/>
      <c r="K1648" s="1176"/>
      <c r="L1648" s="1177"/>
      <c r="M1648" s="750"/>
    </row>
    <row r="1649" spans="1:13" ht="18.75" hidden="1" x14ac:dyDescent="0.3">
      <c r="A1649" s="749"/>
      <c r="B1649" s="749"/>
      <c r="C1649" s="745" t="s">
        <v>1078</v>
      </c>
      <c r="D1649" s="768">
        <f t="shared" si="58"/>
        <v>150000</v>
      </c>
      <c r="E1649" s="1736"/>
      <c r="F1649" s="1737"/>
      <c r="G1649" s="1737"/>
      <c r="H1649" s="1737"/>
      <c r="I1649" s="1176"/>
      <c r="J1649" s="1176"/>
      <c r="K1649" s="1176"/>
      <c r="L1649" s="1177"/>
      <c r="M1649" s="750"/>
    </row>
    <row r="1650" spans="1:13" ht="18.75" hidden="1" x14ac:dyDescent="0.3">
      <c r="A1650" s="749"/>
      <c r="B1650" s="749"/>
      <c r="C1650" s="745" t="s">
        <v>1079</v>
      </c>
      <c r="D1650" s="768">
        <f t="shared" si="58"/>
        <v>1736000</v>
      </c>
      <c r="E1650" s="1736"/>
      <c r="F1650" s="1737"/>
      <c r="G1650" s="1737"/>
      <c r="H1650" s="1737"/>
      <c r="I1650" s="1176"/>
      <c r="J1650" s="1176"/>
      <c r="K1650" s="1176"/>
      <c r="L1650" s="1177"/>
      <c r="M1650" s="750"/>
    </row>
    <row r="1651" spans="1:13" ht="18.75" hidden="1" x14ac:dyDescent="0.3">
      <c r="A1651" s="749"/>
      <c r="B1651" s="749"/>
      <c r="C1651" s="745" t="s">
        <v>1080</v>
      </c>
      <c r="D1651" s="768">
        <f t="shared" si="58"/>
        <v>5416642</v>
      </c>
      <c r="E1651" s="1736"/>
      <c r="F1651" s="1737"/>
      <c r="G1651" s="1737"/>
      <c r="H1651" s="1737"/>
      <c r="I1651" s="1176"/>
      <c r="J1651" s="1176"/>
      <c r="K1651" s="1176"/>
      <c r="L1651" s="1177"/>
      <c r="M1651" s="750"/>
    </row>
    <row r="1652" spans="1:13" ht="18.75" hidden="1" x14ac:dyDescent="0.3">
      <c r="A1652" s="749"/>
      <c r="B1652" s="749"/>
      <c r="C1652" s="745" t="s">
        <v>1081</v>
      </c>
      <c r="D1652" s="768">
        <f t="shared" si="58"/>
        <v>0</v>
      </c>
      <c r="E1652" s="1736"/>
      <c r="F1652" s="1737"/>
      <c r="G1652" s="1737"/>
      <c r="H1652" s="1737"/>
      <c r="I1652" s="1176"/>
      <c r="J1652" s="1176"/>
      <c r="K1652" s="1176"/>
      <c r="L1652" s="1177"/>
      <c r="M1652" s="750"/>
    </row>
    <row r="1653" spans="1:13" ht="18.75" hidden="1" x14ac:dyDescent="0.3">
      <c r="A1653" s="749"/>
      <c r="B1653" s="749"/>
      <c r="C1653" s="745" t="s">
        <v>1082</v>
      </c>
      <c r="D1653" s="768">
        <f t="shared" si="58"/>
        <v>250000</v>
      </c>
      <c r="E1653" s="1736"/>
      <c r="F1653" s="1737"/>
      <c r="G1653" s="1737"/>
      <c r="H1653" s="1737"/>
      <c r="I1653" s="1176"/>
      <c r="J1653" s="1176"/>
      <c r="K1653" s="1176"/>
      <c r="L1653" s="1177"/>
      <c r="M1653" s="750"/>
    </row>
    <row r="1654" spans="1:13" ht="18.75" hidden="1" x14ac:dyDescent="0.3">
      <c r="A1654" s="749"/>
      <c r="B1654" s="749"/>
      <c r="C1654" s="745" t="s">
        <v>1083</v>
      </c>
      <c r="D1654" s="768">
        <f t="shared" si="58"/>
        <v>10000</v>
      </c>
      <c r="E1654" s="1736"/>
      <c r="F1654" s="1737"/>
      <c r="G1654" s="1737"/>
      <c r="H1654" s="1737"/>
      <c r="I1654" s="1176"/>
      <c r="J1654" s="1176"/>
      <c r="K1654" s="1176"/>
      <c r="L1654" s="1177"/>
      <c r="M1654" s="750"/>
    </row>
    <row r="1655" spans="1:13" ht="18.75" hidden="1" x14ac:dyDescent="0.3">
      <c r="A1655" s="749"/>
      <c r="B1655" s="749"/>
      <c r="C1655" s="745" t="s">
        <v>1084</v>
      </c>
      <c r="D1655" s="768">
        <f t="shared" si="58"/>
        <v>1231494</v>
      </c>
      <c r="E1655" s="1736"/>
      <c r="F1655" s="1737"/>
      <c r="G1655" s="1737"/>
      <c r="H1655" s="1737"/>
      <c r="I1655" s="1176"/>
      <c r="J1655" s="1176"/>
      <c r="K1655" s="1176"/>
      <c r="L1655" s="1177"/>
      <c r="M1655" s="750"/>
    </row>
    <row r="1656" spans="1:13" ht="18.75" hidden="1" x14ac:dyDescent="0.3">
      <c r="A1656" s="749"/>
      <c r="B1656" s="749"/>
      <c r="C1656" s="745" t="s">
        <v>1085</v>
      </c>
      <c r="D1656" s="768">
        <f t="shared" si="58"/>
        <v>3224980</v>
      </c>
      <c r="E1656" s="1736"/>
      <c r="F1656" s="1737"/>
      <c r="G1656" s="1737"/>
      <c r="H1656" s="1737"/>
      <c r="I1656" s="1176"/>
      <c r="J1656" s="1176"/>
      <c r="K1656" s="1176"/>
      <c r="L1656" s="1177"/>
      <c r="M1656" s="750"/>
    </row>
    <row r="1657" spans="1:13" ht="18.75" hidden="1" x14ac:dyDescent="0.3">
      <c r="A1657" s="749"/>
      <c r="B1657" s="749"/>
      <c r="C1657" s="745" t="s">
        <v>1086</v>
      </c>
      <c r="D1657" s="768">
        <f t="shared" si="58"/>
        <v>1017790</v>
      </c>
      <c r="E1657" s="1736"/>
      <c r="F1657" s="1737"/>
      <c r="G1657" s="1737"/>
      <c r="H1657" s="1737"/>
      <c r="I1657" s="1176"/>
      <c r="J1657" s="1176"/>
      <c r="K1657" s="1176"/>
      <c r="L1657" s="1177"/>
      <c r="M1657" s="750"/>
    </row>
    <row r="1658" spans="1:13" ht="18.75" hidden="1" x14ac:dyDescent="0.3">
      <c r="A1658" s="749"/>
      <c r="B1658" s="749"/>
      <c r="C1658" s="745" t="s">
        <v>1087</v>
      </c>
      <c r="D1658" s="768">
        <f t="shared" si="58"/>
        <v>995000</v>
      </c>
      <c r="E1658" s="1736"/>
      <c r="F1658" s="1737"/>
      <c r="G1658" s="1737"/>
      <c r="H1658" s="1737"/>
      <c r="I1658" s="1176"/>
      <c r="J1658" s="1176"/>
      <c r="K1658" s="1176"/>
      <c r="L1658" s="1177"/>
      <c r="M1658" s="750"/>
    </row>
    <row r="1659" spans="1:13" ht="18.75" hidden="1" x14ac:dyDescent="0.3">
      <c r="A1659" s="749"/>
      <c r="B1659" s="749"/>
      <c r="C1659" s="745" t="s">
        <v>1088</v>
      </c>
      <c r="D1659" s="768">
        <f t="shared" si="58"/>
        <v>100000</v>
      </c>
      <c r="E1659" s="1736"/>
      <c r="F1659" s="1737"/>
      <c r="G1659" s="1737"/>
      <c r="H1659" s="1737"/>
      <c r="I1659" s="1176"/>
      <c r="J1659" s="1176"/>
      <c r="K1659" s="1176"/>
      <c r="L1659" s="1177"/>
      <c r="M1659" s="750"/>
    </row>
    <row r="1660" spans="1:13" ht="18.75" hidden="1" x14ac:dyDescent="0.3">
      <c r="A1660" s="749"/>
      <c r="B1660" s="749"/>
      <c r="C1660" s="745" t="s">
        <v>1089</v>
      </c>
      <c r="D1660" s="768">
        <f t="shared" si="58"/>
        <v>63800</v>
      </c>
      <c r="E1660" s="1736"/>
      <c r="F1660" s="1737"/>
      <c r="G1660" s="1737"/>
      <c r="H1660" s="1737"/>
      <c r="I1660" s="1176"/>
      <c r="J1660" s="1176"/>
      <c r="K1660" s="1176"/>
      <c r="L1660" s="1177"/>
      <c r="M1660" s="750"/>
    </row>
    <row r="1661" spans="1:13" ht="18.75" hidden="1" x14ac:dyDescent="0.3">
      <c r="A1661" s="749"/>
      <c r="B1661" s="749"/>
      <c r="C1661" s="745" t="s">
        <v>1090</v>
      </c>
      <c r="D1661" s="768">
        <f t="shared" si="58"/>
        <v>525000</v>
      </c>
      <c r="E1661" s="1736"/>
      <c r="F1661" s="1737"/>
      <c r="G1661" s="1737"/>
      <c r="H1661" s="1737"/>
      <c r="I1661" s="1176"/>
      <c r="J1661" s="1176"/>
      <c r="K1661" s="1176"/>
      <c r="L1661" s="1177"/>
      <c r="M1661" s="750"/>
    </row>
    <row r="1662" spans="1:13" ht="18.75" hidden="1" x14ac:dyDescent="0.3">
      <c r="A1662" s="749"/>
      <c r="B1662" s="749"/>
      <c r="C1662" s="745" t="s">
        <v>1091</v>
      </c>
      <c r="D1662" s="768">
        <f t="shared" si="58"/>
        <v>831900</v>
      </c>
      <c r="E1662" s="1736"/>
      <c r="F1662" s="1737"/>
      <c r="G1662" s="1737"/>
      <c r="H1662" s="1737"/>
      <c r="I1662" s="1176"/>
      <c r="J1662" s="1176"/>
      <c r="K1662" s="1176"/>
      <c r="L1662" s="1177"/>
      <c r="M1662" s="750"/>
    </row>
    <row r="1663" spans="1:13" ht="18.75" hidden="1" x14ac:dyDescent="0.3">
      <c r="A1663" s="749"/>
      <c r="B1663" s="749"/>
      <c r="C1663" s="745" t="s">
        <v>1092</v>
      </c>
      <c r="D1663" s="768">
        <f t="shared" si="58"/>
        <v>160000</v>
      </c>
      <c r="E1663" s="1736"/>
      <c r="F1663" s="1737"/>
      <c r="G1663" s="1737"/>
      <c r="H1663" s="1737"/>
      <c r="I1663" s="1176"/>
      <c r="J1663" s="1176"/>
      <c r="K1663" s="1176"/>
      <c r="L1663" s="1177"/>
      <c r="M1663" s="750"/>
    </row>
    <row r="1664" spans="1:13" ht="18.75" hidden="1" x14ac:dyDescent="0.3">
      <c r="A1664" s="749"/>
      <c r="B1664" s="749"/>
      <c r="C1664" s="745" t="s">
        <v>1093</v>
      </c>
      <c r="D1664" s="768">
        <f t="shared" si="58"/>
        <v>0</v>
      </c>
      <c r="E1664" s="1736"/>
      <c r="F1664" s="1737"/>
      <c r="G1664" s="1737"/>
      <c r="H1664" s="1737"/>
      <c r="I1664" s="1176"/>
      <c r="J1664" s="1176"/>
      <c r="K1664" s="1176"/>
      <c r="L1664" s="1177"/>
      <c r="M1664" s="750"/>
    </row>
    <row r="1665" spans="1:13" ht="18.75" hidden="1" x14ac:dyDescent="0.3">
      <c r="A1665" s="749"/>
      <c r="B1665" s="749"/>
      <c r="C1665" s="745" t="s">
        <v>1094</v>
      </c>
      <c r="D1665" s="768">
        <f t="shared" si="58"/>
        <v>359900</v>
      </c>
      <c r="E1665" s="1736"/>
      <c r="F1665" s="1737"/>
      <c r="G1665" s="1737"/>
      <c r="H1665" s="1737"/>
      <c r="I1665" s="1176"/>
      <c r="J1665" s="1176"/>
      <c r="K1665" s="1176"/>
      <c r="L1665" s="1177"/>
      <c r="M1665" s="750"/>
    </row>
    <row r="1666" spans="1:13" ht="18.75" hidden="1" x14ac:dyDescent="0.3">
      <c r="A1666" s="749"/>
      <c r="B1666" s="749"/>
      <c r="C1666" s="745" t="s">
        <v>1095</v>
      </c>
      <c r="D1666" s="768">
        <f t="shared" si="58"/>
        <v>931044</v>
      </c>
      <c r="E1666" s="1736"/>
      <c r="F1666" s="1737"/>
      <c r="G1666" s="1737"/>
      <c r="H1666" s="1737"/>
      <c r="I1666" s="1176"/>
      <c r="J1666" s="1176"/>
      <c r="K1666" s="1176"/>
      <c r="L1666" s="1177"/>
      <c r="M1666" s="750"/>
    </row>
    <row r="1667" spans="1:13" ht="18.75" hidden="1" x14ac:dyDescent="0.3">
      <c r="A1667" s="749"/>
      <c r="B1667" s="749"/>
      <c r="C1667" s="745" t="s">
        <v>1096</v>
      </c>
      <c r="D1667" s="768">
        <f t="shared" si="58"/>
        <v>1848000</v>
      </c>
      <c r="E1667" s="1736"/>
      <c r="F1667" s="1737"/>
      <c r="G1667" s="1737"/>
      <c r="H1667" s="1737"/>
      <c r="I1667" s="1176"/>
      <c r="J1667" s="1176"/>
      <c r="K1667" s="1176"/>
      <c r="L1667" s="1177"/>
      <c r="M1667" s="750"/>
    </row>
    <row r="1668" spans="1:13" ht="18.75" hidden="1" x14ac:dyDescent="0.3">
      <c r="A1668" s="749"/>
      <c r="B1668" s="749"/>
      <c r="C1668" s="745" t="s">
        <v>1097</v>
      </c>
      <c r="D1668" s="768">
        <f t="shared" si="58"/>
        <v>1580044</v>
      </c>
      <c r="E1668" s="1736"/>
      <c r="F1668" s="1737"/>
      <c r="G1668" s="1737"/>
      <c r="H1668" s="1737"/>
      <c r="I1668" s="1176"/>
      <c r="J1668" s="1176"/>
      <c r="K1668" s="1176"/>
      <c r="L1668" s="1177"/>
      <c r="M1668" s="750"/>
    </row>
    <row r="1669" spans="1:13" ht="18.75" hidden="1" x14ac:dyDescent="0.3">
      <c r="A1669" s="749"/>
      <c r="B1669" s="749"/>
      <c r="C1669" s="745" t="s">
        <v>1098</v>
      </c>
      <c r="D1669" s="768">
        <f t="shared" si="58"/>
        <v>135000</v>
      </c>
      <c r="E1669" s="1736"/>
      <c r="F1669" s="1737"/>
      <c r="G1669" s="1737"/>
      <c r="H1669" s="1737"/>
      <c r="I1669" s="1176"/>
      <c r="J1669" s="1176"/>
      <c r="K1669" s="1176"/>
      <c r="L1669" s="1177"/>
      <c r="M1669" s="750"/>
    </row>
    <row r="1670" spans="1:13" ht="18.75" hidden="1" x14ac:dyDescent="0.3">
      <c r="A1670" s="749"/>
      <c r="B1670" s="749"/>
      <c r="C1670" s="745" t="s">
        <v>1099</v>
      </c>
      <c r="D1670" s="768">
        <f t="shared" si="58"/>
        <v>1590984</v>
      </c>
      <c r="E1670" s="1736"/>
      <c r="F1670" s="1737"/>
      <c r="G1670" s="1737"/>
      <c r="H1670" s="1737"/>
      <c r="I1670" s="1176"/>
      <c r="J1670" s="1176"/>
      <c r="K1670" s="1176"/>
      <c r="L1670" s="1177"/>
      <c r="M1670" s="750"/>
    </row>
    <row r="1671" spans="1:13" ht="18.75" hidden="1" x14ac:dyDescent="0.3">
      <c r="A1671" s="749"/>
      <c r="B1671" s="749"/>
      <c r="C1671" s="745" t="s">
        <v>1100</v>
      </c>
      <c r="D1671" s="768">
        <f t="shared" si="58"/>
        <v>1752081</v>
      </c>
      <c r="E1671" s="1736"/>
      <c r="F1671" s="1737"/>
      <c r="G1671" s="1737"/>
      <c r="H1671" s="1737"/>
      <c r="I1671" s="1176"/>
      <c r="J1671" s="1176"/>
      <c r="K1671" s="1176"/>
      <c r="L1671" s="1177"/>
      <c r="M1671" s="750"/>
    </row>
    <row r="1672" spans="1:13" ht="18.75" hidden="1" x14ac:dyDescent="0.3">
      <c r="A1672" s="749"/>
      <c r="B1672" s="749"/>
      <c r="C1672" s="745" t="s">
        <v>1101</v>
      </c>
      <c r="D1672" s="768">
        <f t="shared" si="58"/>
        <v>18000</v>
      </c>
      <c r="E1672" s="1736"/>
      <c r="F1672" s="1737"/>
      <c r="G1672" s="1737"/>
      <c r="H1672" s="1737"/>
      <c r="I1672" s="1176"/>
      <c r="J1672" s="1176"/>
      <c r="K1672" s="1176"/>
      <c r="L1672" s="1177"/>
      <c r="M1672" s="750"/>
    </row>
    <row r="1673" spans="1:13" ht="18.75" hidden="1" x14ac:dyDescent="0.3">
      <c r="A1673" s="749"/>
      <c r="B1673" s="749"/>
      <c r="C1673" s="745" t="s">
        <v>1102</v>
      </c>
      <c r="D1673" s="768">
        <f t="shared" si="58"/>
        <v>0</v>
      </c>
      <c r="E1673" s="1736"/>
      <c r="F1673" s="1737"/>
      <c r="G1673" s="1737"/>
      <c r="H1673" s="1737"/>
      <c r="I1673" s="1176"/>
      <c r="J1673" s="1176"/>
      <c r="K1673" s="1176"/>
      <c r="L1673" s="1177"/>
      <c r="M1673" s="750"/>
    </row>
    <row r="1674" spans="1:13" ht="18.75" hidden="1" x14ac:dyDescent="0.3">
      <c r="A1674" s="749"/>
      <c r="B1674" s="749"/>
      <c r="C1674" s="745" t="s">
        <v>1103</v>
      </c>
      <c r="D1674" s="768">
        <f t="shared" si="58"/>
        <v>687600</v>
      </c>
      <c r="E1674" s="1736"/>
      <c r="F1674" s="1737"/>
      <c r="G1674" s="1737"/>
      <c r="H1674" s="1737"/>
      <c r="I1674" s="1176"/>
      <c r="J1674" s="1176"/>
      <c r="K1674" s="1176"/>
      <c r="L1674" s="1177"/>
      <c r="M1674" s="750"/>
    </row>
    <row r="1675" spans="1:13" ht="18.75" hidden="1" x14ac:dyDescent="0.3">
      <c r="A1675" s="749"/>
      <c r="B1675" s="749"/>
      <c r="C1675" s="745" t="s">
        <v>1104</v>
      </c>
      <c r="D1675" s="768">
        <f t="shared" si="58"/>
        <v>2385160</v>
      </c>
      <c r="E1675" s="1736"/>
      <c r="F1675" s="1737"/>
      <c r="G1675" s="1737"/>
      <c r="H1675" s="1737"/>
      <c r="I1675" s="1176"/>
      <c r="J1675" s="1176"/>
      <c r="K1675" s="1176"/>
      <c r="L1675" s="1177"/>
      <c r="M1675" s="750"/>
    </row>
    <row r="1676" spans="1:13" ht="18.75" hidden="1" x14ac:dyDescent="0.3">
      <c r="A1676" s="749"/>
      <c r="B1676" s="749"/>
      <c r="C1676" s="745" t="s">
        <v>1105</v>
      </c>
      <c r="D1676" s="768">
        <f t="shared" si="58"/>
        <v>535000</v>
      </c>
      <c r="E1676" s="1736"/>
      <c r="F1676" s="1737"/>
      <c r="G1676" s="1737"/>
      <c r="H1676" s="1737"/>
      <c r="I1676" s="1176"/>
      <c r="J1676" s="1176"/>
      <c r="K1676" s="1176"/>
      <c r="L1676" s="1177"/>
      <c r="M1676" s="750"/>
    </row>
    <row r="1677" spans="1:13" ht="18.75" hidden="1" x14ac:dyDescent="0.3">
      <c r="A1677" s="749"/>
      <c r="B1677" s="749"/>
      <c r="C1677" s="745" t="s">
        <v>1106</v>
      </c>
      <c r="D1677" s="768">
        <f t="shared" si="58"/>
        <v>473106</v>
      </c>
      <c r="E1677" s="1736"/>
      <c r="F1677" s="1737"/>
      <c r="G1677" s="1737"/>
      <c r="H1677" s="1737"/>
      <c r="I1677" s="1176"/>
      <c r="J1677" s="1176"/>
      <c r="K1677" s="1176"/>
      <c r="L1677" s="1177"/>
      <c r="M1677" s="750"/>
    </row>
    <row r="1678" spans="1:13" ht="18.75" hidden="1" x14ac:dyDescent="0.3">
      <c r="A1678" s="749"/>
      <c r="B1678" s="749"/>
      <c r="C1678" s="745" t="s">
        <v>1107</v>
      </c>
      <c r="D1678" s="768">
        <f t="shared" si="58"/>
        <v>1284694</v>
      </c>
      <c r="E1678" s="1736"/>
      <c r="F1678" s="1737"/>
      <c r="G1678" s="1737"/>
      <c r="H1678" s="1737"/>
      <c r="I1678" s="1176"/>
      <c r="J1678" s="1176"/>
      <c r="K1678" s="1176"/>
      <c r="L1678" s="1177"/>
      <c r="M1678" s="750"/>
    </row>
    <row r="1679" spans="1:13" ht="18.75" hidden="1" x14ac:dyDescent="0.3">
      <c r="A1679" s="749"/>
      <c r="B1679" s="749"/>
      <c r="C1679" s="745" t="s">
        <v>1108</v>
      </c>
      <c r="D1679" s="768">
        <f t="shared" si="58"/>
        <v>204656</v>
      </c>
      <c r="E1679" s="1736"/>
      <c r="F1679" s="1737"/>
      <c r="G1679" s="1737"/>
      <c r="H1679" s="1737"/>
      <c r="I1679" s="1176"/>
      <c r="J1679" s="1176"/>
      <c r="K1679" s="1176"/>
      <c r="L1679" s="1177"/>
      <c r="M1679" s="750"/>
    </row>
    <row r="1680" spans="1:13" ht="18.75" hidden="1" x14ac:dyDescent="0.3">
      <c r="A1680" s="749"/>
      <c r="B1680" s="749"/>
      <c r="C1680" s="745" t="s">
        <v>1109</v>
      </c>
      <c r="D1680" s="768">
        <f t="shared" si="58"/>
        <v>129950</v>
      </c>
      <c r="E1680" s="1736"/>
      <c r="F1680" s="1737"/>
      <c r="G1680" s="1737"/>
      <c r="H1680" s="1737"/>
      <c r="I1680" s="1176"/>
      <c r="J1680" s="1176"/>
      <c r="K1680" s="1176"/>
      <c r="L1680" s="1177"/>
      <c r="M1680" s="750"/>
    </row>
    <row r="1681" spans="1:13" ht="18.75" hidden="1" x14ac:dyDescent="0.3">
      <c r="A1681" s="749"/>
      <c r="B1681" s="749"/>
      <c r="C1681" s="745" t="s">
        <v>1110</v>
      </c>
      <c r="D1681" s="768">
        <f t="shared" si="58"/>
        <v>100000</v>
      </c>
      <c r="E1681" s="1736"/>
      <c r="F1681" s="1737"/>
      <c r="G1681" s="1737"/>
      <c r="H1681" s="1737"/>
      <c r="I1681" s="1176"/>
      <c r="J1681" s="1176"/>
      <c r="K1681" s="1176"/>
      <c r="L1681" s="1177"/>
      <c r="M1681" s="750"/>
    </row>
    <row r="1682" spans="1:13" ht="18.75" hidden="1" x14ac:dyDescent="0.3">
      <c r="A1682" s="749"/>
      <c r="B1682" s="749"/>
      <c r="C1682" s="745" t="s">
        <v>1111</v>
      </c>
      <c r="D1682" s="768">
        <f t="shared" si="58"/>
        <v>58446</v>
      </c>
      <c r="E1682" s="1736"/>
      <c r="F1682" s="1737"/>
      <c r="G1682" s="1737"/>
      <c r="H1682" s="1737"/>
      <c r="I1682" s="1176"/>
      <c r="J1682" s="1176"/>
      <c r="K1682" s="1176"/>
      <c r="L1682" s="1177"/>
      <c r="M1682" s="750"/>
    </row>
    <row r="1683" spans="1:13" ht="18.75" hidden="1" x14ac:dyDescent="0.3">
      <c r="A1683" s="749"/>
      <c r="B1683" s="749"/>
      <c r="C1683" s="745" t="s">
        <v>1112</v>
      </c>
      <c r="D1683" s="768">
        <f t="shared" si="58"/>
        <v>310000</v>
      </c>
      <c r="E1683" s="1736"/>
      <c r="F1683" s="1737"/>
      <c r="G1683" s="1737"/>
      <c r="H1683" s="1737"/>
      <c r="I1683" s="1176"/>
      <c r="J1683" s="1176"/>
      <c r="K1683" s="1176"/>
      <c r="L1683" s="1177"/>
      <c r="M1683" s="750"/>
    </row>
    <row r="1684" spans="1:13" ht="18.75" hidden="1" x14ac:dyDescent="0.3">
      <c r="A1684" s="749"/>
      <c r="B1684" s="749"/>
      <c r="C1684" s="745" t="s">
        <v>1113</v>
      </c>
      <c r="D1684" s="768">
        <f t="shared" si="58"/>
        <v>557200</v>
      </c>
      <c r="E1684" s="1736"/>
      <c r="F1684" s="1737"/>
      <c r="G1684" s="1737"/>
      <c r="H1684" s="1737"/>
      <c r="I1684" s="1176"/>
      <c r="J1684" s="1176"/>
      <c r="K1684" s="1176"/>
      <c r="L1684" s="1177"/>
      <c r="M1684" s="750"/>
    </row>
    <row r="1685" spans="1:13" ht="18.75" hidden="1" x14ac:dyDescent="0.3">
      <c r="A1685" s="749"/>
      <c r="B1685" s="749"/>
      <c r="C1685" s="745" t="s">
        <v>1114</v>
      </c>
      <c r="D1685" s="768">
        <f t="shared" si="58"/>
        <v>3146454</v>
      </c>
      <c r="E1685" s="1736"/>
      <c r="F1685" s="1737"/>
      <c r="G1685" s="1737"/>
      <c r="H1685" s="1737"/>
      <c r="I1685" s="1176"/>
      <c r="J1685" s="1176"/>
      <c r="K1685" s="1176"/>
      <c r="L1685" s="1177"/>
      <c r="M1685" s="750"/>
    </row>
    <row r="1686" spans="1:13" ht="18.75" hidden="1" x14ac:dyDescent="0.3">
      <c r="A1686" s="749"/>
      <c r="B1686" s="749"/>
      <c r="C1686" s="745" t="s">
        <v>1115</v>
      </c>
      <c r="D1686" s="768">
        <f t="shared" si="58"/>
        <v>259145</v>
      </c>
      <c r="E1686" s="1736"/>
      <c r="F1686" s="1737"/>
      <c r="G1686" s="1737"/>
      <c r="H1686" s="1737"/>
      <c r="I1686" s="1176"/>
      <c r="J1686" s="1176"/>
      <c r="K1686" s="1176"/>
      <c r="L1686" s="1177"/>
      <c r="M1686" s="750"/>
    </row>
    <row r="1687" spans="1:13" ht="18.75" hidden="1" x14ac:dyDescent="0.3">
      <c r="A1687" s="749"/>
      <c r="B1687" s="749"/>
      <c r="C1687" s="745" t="s">
        <v>1116</v>
      </c>
      <c r="D1687" s="768">
        <f t="shared" si="58"/>
        <v>24184468</v>
      </c>
      <c r="E1687" s="1736"/>
      <c r="F1687" s="1737"/>
      <c r="G1687" s="1737"/>
      <c r="H1687" s="1737"/>
      <c r="I1687" s="1176"/>
      <c r="J1687" s="1176"/>
      <c r="K1687" s="1176"/>
      <c r="L1687" s="1177"/>
      <c r="M1687" s="750"/>
    </row>
    <row r="1688" spans="1:13" ht="18.75" hidden="1" x14ac:dyDescent="0.3">
      <c r="A1688" s="749"/>
      <c r="B1688" s="749"/>
      <c r="C1688" s="745" t="s">
        <v>1117</v>
      </c>
      <c r="D1688" s="768">
        <f t="shared" si="58"/>
        <v>1358500</v>
      </c>
      <c r="E1688" s="1736"/>
      <c r="F1688" s="1737"/>
      <c r="G1688" s="1737"/>
      <c r="H1688" s="1737"/>
      <c r="I1688" s="1176"/>
      <c r="J1688" s="1176"/>
      <c r="K1688" s="1176"/>
      <c r="L1688" s="1177"/>
      <c r="M1688" s="750"/>
    </row>
    <row r="1689" spans="1:13" ht="18.75" hidden="1" x14ac:dyDescent="0.3">
      <c r="A1689" s="749"/>
      <c r="B1689" s="749"/>
      <c r="C1689" s="745" t="s">
        <v>1119</v>
      </c>
      <c r="D1689" s="768">
        <f t="shared" si="58"/>
        <v>0</v>
      </c>
      <c r="E1689" s="1736"/>
      <c r="F1689" s="1737"/>
      <c r="G1689" s="1737"/>
      <c r="H1689" s="1737"/>
      <c r="I1689" s="1176"/>
      <c r="J1689" s="1176"/>
      <c r="K1689" s="1176"/>
      <c r="L1689" s="1177"/>
      <c r="M1689" s="750"/>
    </row>
    <row r="1690" spans="1:13" ht="18.75" hidden="1" x14ac:dyDescent="0.3">
      <c r="A1690" s="749"/>
      <c r="B1690" s="749"/>
      <c r="C1690" s="745" t="s">
        <v>1121</v>
      </c>
      <c r="D1690" s="768">
        <f t="shared" si="58"/>
        <v>0</v>
      </c>
      <c r="E1690" s="1736"/>
      <c r="F1690" s="1737"/>
      <c r="G1690" s="1737"/>
      <c r="H1690" s="1737"/>
      <c r="I1690" s="1176"/>
      <c r="J1690" s="1176"/>
      <c r="K1690" s="1176"/>
      <c r="L1690" s="1177"/>
      <c r="M1690" s="750"/>
    </row>
    <row r="1691" spans="1:13" ht="18.75" hidden="1" x14ac:dyDescent="0.3">
      <c r="A1691" s="749"/>
      <c r="B1691" s="749"/>
      <c r="C1691" s="745" t="s">
        <v>1123</v>
      </c>
      <c r="D1691" s="768">
        <f t="shared" si="58"/>
        <v>0</v>
      </c>
      <c r="E1691" s="1736"/>
      <c r="F1691" s="1737"/>
      <c r="G1691" s="1737"/>
      <c r="H1691" s="1737"/>
      <c r="I1691" s="1176"/>
      <c r="J1691" s="1176"/>
      <c r="K1691" s="1176"/>
      <c r="L1691" s="1177"/>
      <c r="M1691" s="750"/>
    </row>
    <row r="1692" spans="1:13" ht="18.75" hidden="1" x14ac:dyDescent="0.3">
      <c r="A1692" s="749"/>
      <c r="B1692" s="749"/>
      <c r="C1692" s="745" t="s">
        <v>1125</v>
      </c>
      <c r="D1692" s="768">
        <f t="shared" si="58"/>
        <v>3170400</v>
      </c>
      <c r="E1692" s="1736"/>
      <c r="F1692" s="1737"/>
      <c r="G1692" s="1737"/>
      <c r="H1692" s="1737"/>
      <c r="I1692" s="1176"/>
      <c r="J1692" s="1176"/>
      <c r="K1692" s="1176"/>
      <c r="L1692" s="1177"/>
      <c r="M1692" s="750"/>
    </row>
    <row r="1693" spans="1:13" ht="18.75" hidden="1" x14ac:dyDescent="0.3">
      <c r="A1693" s="749"/>
      <c r="B1693" s="749"/>
      <c r="C1693" s="745" t="s">
        <v>1127</v>
      </c>
      <c r="D1693" s="768">
        <f t="shared" si="58"/>
        <v>4104325</v>
      </c>
      <c r="E1693" s="1736"/>
      <c r="F1693" s="1737"/>
      <c r="G1693" s="1737"/>
      <c r="H1693" s="1737"/>
      <c r="I1693" s="1176"/>
      <c r="J1693" s="1176"/>
      <c r="K1693" s="1176"/>
      <c r="L1693" s="1177"/>
      <c r="M1693" s="750"/>
    </row>
    <row r="1694" spans="1:13" ht="18.75" hidden="1" x14ac:dyDescent="0.3">
      <c r="A1694" s="749"/>
      <c r="B1694" s="749"/>
      <c r="C1694" s="745" t="s">
        <v>1129</v>
      </c>
      <c r="D1694" s="768">
        <f t="shared" si="58"/>
        <v>5000000</v>
      </c>
      <c r="E1694" s="1736"/>
      <c r="F1694" s="1737"/>
      <c r="G1694" s="1737"/>
      <c r="H1694" s="1737"/>
      <c r="I1694" s="1176"/>
      <c r="J1694" s="1176"/>
      <c r="K1694" s="1176"/>
      <c r="L1694" s="1177"/>
      <c r="M1694" s="750"/>
    </row>
    <row r="1695" spans="1:13" ht="18.75" hidden="1" x14ac:dyDescent="0.3">
      <c r="A1695" s="749"/>
      <c r="B1695" s="749"/>
      <c r="C1695" s="745" t="s">
        <v>1131</v>
      </c>
      <c r="D1695" s="768">
        <f t="shared" si="58"/>
        <v>80000</v>
      </c>
      <c r="E1695" s="1736"/>
      <c r="F1695" s="1737"/>
      <c r="G1695" s="1737"/>
      <c r="H1695" s="1737"/>
      <c r="I1695" s="1176"/>
      <c r="J1695" s="1176"/>
      <c r="K1695" s="1176"/>
      <c r="L1695" s="1177"/>
      <c r="M1695" s="750"/>
    </row>
    <row r="1696" spans="1:13" ht="18.75" hidden="1" x14ac:dyDescent="0.3">
      <c r="A1696" s="749"/>
      <c r="B1696" s="749"/>
      <c r="C1696" s="745" t="s">
        <v>1133</v>
      </c>
      <c r="D1696" s="768">
        <f t="shared" si="58"/>
        <v>0</v>
      </c>
      <c r="E1696" s="1736"/>
      <c r="F1696" s="1737"/>
      <c r="G1696" s="1737"/>
      <c r="H1696" s="1737"/>
      <c r="I1696" s="1176"/>
      <c r="J1696" s="1176"/>
      <c r="K1696" s="1176"/>
      <c r="L1696" s="1177"/>
      <c r="M1696" s="750"/>
    </row>
    <row r="1697" spans="1:13" ht="18.75" hidden="1" x14ac:dyDescent="0.3">
      <c r="A1697" s="749"/>
      <c r="B1697" s="749"/>
      <c r="C1697" s="745" t="s">
        <v>1135</v>
      </c>
      <c r="D1697" s="768">
        <f t="shared" si="58"/>
        <v>105000</v>
      </c>
      <c r="E1697" s="1736"/>
      <c r="F1697" s="1737"/>
      <c r="G1697" s="1737"/>
      <c r="H1697" s="1737"/>
      <c r="I1697" s="1176"/>
      <c r="J1697" s="1176"/>
      <c r="K1697" s="1176"/>
      <c r="L1697" s="1177"/>
      <c r="M1697" s="750"/>
    </row>
    <row r="1698" spans="1:13" ht="18.75" hidden="1" x14ac:dyDescent="0.3">
      <c r="A1698" s="749"/>
      <c r="B1698" s="749"/>
      <c r="C1698" s="745" t="s">
        <v>1137</v>
      </c>
      <c r="D1698" s="768">
        <f t="shared" si="58"/>
        <v>4145103</v>
      </c>
      <c r="E1698" s="1736"/>
      <c r="F1698" s="1737"/>
      <c r="G1698" s="1737"/>
      <c r="H1698" s="1737"/>
      <c r="I1698" s="1176"/>
      <c r="J1698" s="1176"/>
      <c r="K1698" s="1176"/>
      <c r="L1698" s="1177"/>
      <c r="M1698" s="750"/>
    </row>
    <row r="1699" spans="1:13" ht="18.75" hidden="1" x14ac:dyDescent="0.3">
      <c r="A1699" s="749"/>
      <c r="B1699" s="749"/>
      <c r="C1699" s="745" t="s">
        <v>1139</v>
      </c>
      <c r="D1699" s="768">
        <f t="shared" si="58"/>
        <v>1764112</v>
      </c>
      <c r="E1699" s="1736"/>
      <c r="F1699" s="1737"/>
      <c r="G1699" s="1737"/>
      <c r="H1699" s="1737"/>
      <c r="I1699" s="1176"/>
      <c r="J1699" s="1176"/>
      <c r="K1699" s="1176"/>
      <c r="L1699" s="1177"/>
      <c r="M1699" s="750"/>
    </row>
    <row r="1700" spans="1:13" ht="18.75" hidden="1" x14ac:dyDescent="0.3">
      <c r="A1700" s="749"/>
      <c r="B1700" s="749"/>
      <c r="C1700" s="745" t="s">
        <v>1141</v>
      </c>
      <c r="D1700" s="768">
        <f t="shared" si="58"/>
        <v>2269002</v>
      </c>
      <c r="E1700" s="1736"/>
      <c r="F1700" s="1737"/>
      <c r="G1700" s="1737"/>
      <c r="H1700" s="1737"/>
      <c r="I1700" s="1176"/>
      <c r="J1700" s="1176"/>
      <c r="K1700" s="1176"/>
      <c r="L1700" s="1177"/>
      <c r="M1700" s="750"/>
    </row>
    <row r="1701" spans="1:13" ht="18.75" hidden="1" x14ac:dyDescent="0.3">
      <c r="A1701" s="749"/>
      <c r="B1701" s="749"/>
      <c r="C1701" s="745" t="s">
        <v>1143</v>
      </c>
      <c r="D1701" s="768">
        <f t="shared" si="58"/>
        <v>1911310</v>
      </c>
      <c r="E1701" s="1736"/>
      <c r="F1701" s="1737"/>
      <c r="G1701" s="1737"/>
      <c r="H1701" s="1737"/>
      <c r="I1701" s="1176"/>
      <c r="J1701" s="1176"/>
      <c r="K1701" s="1176"/>
      <c r="L1701" s="1177"/>
      <c r="M1701" s="750"/>
    </row>
    <row r="1702" spans="1:13" ht="18.75" hidden="1" x14ac:dyDescent="0.3">
      <c r="A1702" s="749"/>
      <c r="B1702" s="749"/>
      <c r="C1702" s="745" t="s">
        <v>1145</v>
      </c>
      <c r="D1702" s="768">
        <f t="shared" si="58"/>
        <v>712200</v>
      </c>
      <c r="E1702" s="1736"/>
      <c r="F1702" s="1737"/>
      <c r="G1702" s="1737"/>
      <c r="H1702" s="1737"/>
      <c r="I1702" s="1176"/>
      <c r="J1702" s="1176"/>
      <c r="K1702" s="1176"/>
      <c r="L1702" s="1177"/>
      <c r="M1702" s="750"/>
    </row>
    <row r="1703" spans="1:13" ht="18.75" hidden="1" x14ac:dyDescent="0.3">
      <c r="A1703" s="749"/>
      <c r="B1703" s="749"/>
      <c r="C1703" s="745" t="s">
        <v>1147</v>
      </c>
      <c r="D1703" s="768">
        <f t="shared" si="58"/>
        <v>1909766</v>
      </c>
      <c r="E1703" s="1736"/>
      <c r="F1703" s="1737"/>
      <c r="G1703" s="1737"/>
      <c r="H1703" s="1737"/>
      <c r="I1703" s="1176"/>
      <c r="J1703" s="1176"/>
      <c r="K1703" s="1176"/>
      <c r="L1703" s="1177"/>
      <c r="M1703" s="750"/>
    </row>
    <row r="1704" spans="1:13" ht="18.75" hidden="1" x14ac:dyDescent="0.3">
      <c r="A1704" s="749"/>
      <c r="B1704" s="749"/>
      <c r="C1704" s="745" t="s">
        <v>1149</v>
      </c>
      <c r="D1704" s="768">
        <f>D1342+D1202+D1484+D1555+D1413+D1272</f>
        <v>170800</v>
      </c>
      <c r="E1704" s="1736"/>
      <c r="F1704" s="1737"/>
      <c r="G1704" s="1737"/>
      <c r="H1704" s="1737"/>
      <c r="I1704" s="1176"/>
      <c r="J1704" s="1176"/>
      <c r="K1704" s="1176"/>
      <c r="L1704" s="1177"/>
      <c r="M1704" s="750"/>
    </row>
    <row r="1705" spans="1:13" ht="20.25" hidden="1" x14ac:dyDescent="0.3">
      <c r="A1705" s="748"/>
      <c r="B1705" s="748"/>
      <c r="C1705" s="745" t="s">
        <v>1756</v>
      </c>
      <c r="D1705" s="768">
        <f>D1559+D1565+D1557+D1561+D1563</f>
        <v>7172500</v>
      </c>
      <c r="E1705" s="1730"/>
      <c r="F1705" s="1731"/>
      <c r="G1705" s="1731"/>
      <c r="H1705" s="1731"/>
      <c r="I1705" s="1175"/>
      <c r="J1705" s="1175"/>
      <c r="K1705" s="1175"/>
      <c r="L1705" s="1180"/>
      <c r="M1705" s="750"/>
    </row>
    <row r="1706" spans="1:13" x14ac:dyDescent="0.25">
      <c r="M1706" s="743">
        <v>1</v>
      </c>
    </row>
    <row r="1707" spans="1:13" ht="18.75" x14ac:dyDescent="0.3">
      <c r="D1707" s="570"/>
      <c r="E1707" s="571"/>
      <c r="F1707" s="572"/>
      <c r="H1707" s="769"/>
      <c r="I1707" s="769"/>
      <c r="J1707" s="769"/>
      <c r="K1707" s="769"/>
      <c r="L1707" s="769"/>
      <c r="M1707" s="743">
        <v>14</v>
      </c>
    </row>
    <row r="1708" spans="1:13" ht="18.75" x14ac:dyDescent="0.3">
      <c r="A1708" s="128" t="s">
        <v>174</v>
      </c>
      <c r="B1708" s="242"/>
      <c r="C1708" s="243"/>
      <c r="D1708" s="244"/>
      <c r="F1708" s="1055"/>
      <c r="J1708" s="242" t="s">
        <v>1171</v>
      </c>
      <c r="M1708" s="743">
        <v>1</v>
      </c>
    </row>
    <row r="1709" spans="1:13" x14ac:dyDescent="0.25">
      <c r="M1709" s="257">
        <v>1</v>
      </c>
    </row>
    <row r="1710" spans="1:13" hidden="1" x14ac:dyDescent="0.25">
      <c r="M1710" s="257">
        <v>1</v>
      </c>
    </row>
    <row r="1711" spans="1:13" hidden="1" x14ac:dyDescent="0.25">
      <c r="M1711" s="257">
        <v>1</v>
      </c>
    </row>
    <row r="1712" spans="1:13" hidden="1" x14ac:dyDescent="0.25">
      <c r="A1712" s="1362"/>
      <c r="B1712" s="1362"/>
      <c r="C1712" s="1363" t="s">
        <v>53</v>
      </c>
      <c r="D1712" s="1364">
        <f>D6+D73+D144+D214+D285+D427+D496+D769+D911+D982+D1053+D1124+D1128+D1130+D359+D565+D633+D701+D840+D1126</f>
        <v>395396725</v>
      </c>
      <c r="E1712" s="1365"/>
      <c r="F1712" s="1365"/>
      <c r="G1712" s="1365"/>
      <c r="H1712" s="1365"/>
      <c r="I1712" s="1365"/>
      <c r="J1712" s="1365"/>
      <c r="K1712" s="1365"/>
      <c r="L1712" s="1365"/>
      <c r="M1712" s="1366"/>
    </row>
    <row r="1713" spans="1:13" hidden="1" x14ac:dyDescent="0.25">
      <c r="A1713" s="1362"/>
      <c r="B1713" s="1362"/>
      <c r="C1713" s="1363" t="s">
        <v>54</v>
      </c>
      <c r="D1713" s="1364">
        <f>D1133+D1274+D1415+D1486+D1559+D1565+D1344+D1204+D1561+D1563+D1557</f>
        <v>93658556</v>
      </c>
      <c r="E1713" s="1365"/>
      <c r="F1713" s="1365"/>
      <c r="G1713" s="1365"/>
      <c r="H1713" s="1365"/>
      <c r="I1713" s="1365"/>
      <c r="J1713" s="1365"/>
      <c r="K1713" s="1365"/>
      <c r="L1713" s="1365"/>
      <c r="M1713" s="1366"/>
    </row>
    <row r="1714" spans="1:13" hidden="1" x14ac:dyDescent="0.25">
      <c r="A1714" s="1362"/>
      <c r="B1714" s="1362"/>
      <c r="C1714" s="1363" t="s">
        <v>739</v>
      </c>
      <c r="D1714" s="1364">
        <f>SUBTOTAL(9,D1712:D1713)</f>
        <v>0</v>
      </c>
      <c r="E1714" s="1365"/>
      <c r="F1714" s="1365"/>
      <c r="G1714" s="1365"/>
      <c r="H1714" s="1365"/>
      <c r="I1714" s="1365"/>
      <c r="J1714" s="1365"/>
      <c r="K1714" s="1365"/>
      <c r="L1714" s="1365"/>
      <c r="M1714" s="1366"/>
    </row>
    <row r="1715" spans="1:13" hidden="1" x14ac:dyDescent="0.25">
      <c r="D1715" s="810">
        <f>D1714-D1567</f>
        <v>-489055281</v>
      </c>
    </row>
    <row r="1716" spans="1:13" hidden="1" x14ac:dyDescent="0.25"/>
    <row r="1717" spans="1:13" hidden="1" x14ac:dyDescent="0.25"/>
    <row r="1718" spans="1:13" hidden="1" x14ac:dyDescent="0.25"/>
    <row r="1719" spans="1:13" hidden="1" x14ac:dyDescent="0.25"/>
    <row r="1720" spans="1:13" hidden="1" x14ac:dyDescent="0.25"/>
    <row r="1721" spans="1:13" hidden="1" x14ac:dyDescent="0.25"/>
    <row r="1722" spans="1:13" hidden="1" x14ac:dyDescent="0.25"/>
    <row r="1723" spans="1:13" hidden="1" x14ac:dyDescent="0.25"/>
    <row r="1724" spans="1:13" hidden="1" x14ac:dyDescent="0.25"/>
    <row r="1725" spans="1:13" hidden="1" x14ac:dyDescent="0.25"/>
    <row r="1726" spans="1:13" hidden="1" x14ac:dyDescent="0.25"/>
    <row r="1727" spans="1:13" hidden="1" x14ac:dyDescent="0.25"/>
    <row r="1728" spans="1:13"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sheetData>
  <autoFilter ref="A1:M1640">
    <filterColumn colId="12">
      <customFilters and="1">
        <customFilter operator="greaterThan" val="0"/>
      </customFilters>
    </filterColumn>
  </autoFilter>
  <mergeCells count="779">
    <mergeCell ref="A1204:A1206"/>
    <mergeCell ref="B1204:B1206"/>
    <mergeCell ref="C1204:C1206"/>
    <mergeCell ref="E1204:L1204"/>
    <mergeCell ref="A911:A914"/>
    <mergeCell ref="B911:B914"/>
    <mergeCell ref="C911:C914"/>
    <mergeCell ref="A1133:A1136"/>
    <mergeCell ref="B1133:B1136"/>
    <mergeCell ref="C1133:C1136"/>
    <mergeCell ref="G1557:H1557"/>
    <mergeCell ref="E1558:H1558"/>
    <mergeCell ref="E909:H909"/>
    <mergeCell ref="E910:H910"/>
    <mergeCell ref="F1416:F1418"/>
    <mergeCell ref="G1136:H1136"/>
    <mergeCell ref="G1137:H1137"/>
    <mergeCell ref="E1357:H1357"/>
    <mergeCell ref="E1359:H1359"/>
    <mergeCell ref="E1352:H1352"/>
    <mergeCell ref="E903:H903"/>
    <mergeCell ref="E904:H904"/>
    <mergeCell ref="E905:H905"/>
    <mergeCell ref="E906:H906"/>
    <mergeCell ref="E907:H907"/>
    <mergeCell ref="E908:H908"/>
    <mergeCell ref="E897:H897"/>
    <mergeCell ref="E898:H898"/>
    <mergeCell ref="E899:H899"/>
    <mergeCell ref="E900:H900"/>
    <mergeCell ref="E901:H901"/>
    <mergeCell ref="E902:H902"/>
    <mergeCell ref="E891:H891"/>
    <mergeCell ref="E892:H892"/>
    <mergeCell ref="E893:H893"/>
    <mergeCell ref="E894:H894"/>
    <mergeCell ref="E895:H895"/>
    <mergeCell ref="E896:H896"/>
    <mergeCell ref="E885:H885"/>
    <mergeCell ref="E886:H886"/>
    <mergeCell ref="E887:H887"/>
    <mergeCell ref="E888:H888"/>
    <mergeCell ref="E889:H889"/>
    <mergeCell ref="E890:H890"/>
    <mergeCell ref="E879:H879"/>
    <mergeCell ref="E880:H880"/>
    <mergeCell ref="E881:H881"/>
    <mergeCell ref="E882:H882"/>
    <mergeCell ref="E883:H883"/>
    <mergeCell ref="E884:H884"/>
    <mergeCell ref="E873:H873"/>
    <mergeCell ref="E874:H874"/>
    <mergeCell ref="E875:H875"/>
    <mergeCell ref="E876:H876"/>
    <mergeCell ref="E877:H877"/>
    <mergeCell ref="E878:H878"/>
    <mergeCell ref="E867:H867"/>
    <mergeCell ref="E868:H868"/>
    <mergeCell ref="E869:H869"/>
    <mergeCell ref="E870:H870"/>
    <mergeCell ref="E871:H871"/>
    <mergeCell ref="E872:H872"/>
    <mergeCell ref="E861:H861"/>
    <mergeCell ref="E862:H862"/>
    <mergeCell ref="E863:H863"/>
    <mergeCell ref="E864:H864"/>
    <mergeCell ref="E865:H865"/>
    <mergeCell ref="E866:H866"/>
    <mergeCell ref="E855:H855"/>
    <mergeCell ref="E856:H856"/>
    <mergeCell ref="E857:H857"/>
    <mergeCell ref="E858:H858"/>
    <mergeCell ref="E859:H859"/>
    <mergeCell ref="E860:H860"/>
    <mergeCell ref="B840:B843"/>
    <mergeCell ref="C840:C843"/>
    <mergeCell ref="E840:H843"/>
    <mergeCell ref="E844:H844"/>
    <mergeCell ref="E845:H845"/>
    <mergeCell ref="E851:H851"/>
    <mergeCell ref="E1701:H1701"/>
    <mergeCell ref="E1702:H1702"/>
    <mergeCell ref="E1703:H1703"/>
    <mergeCell ref="E1704:H1704"/>
    <mergeCell ref="E1705:H1705"/>
    <mergeCell ref="G1568:H1568"/>
    <mergeCell ref="E1695:H1695"/>
    <mergeCell ref="E1696:H1696"/>
    <mergeCell ref="E1697:H1697"/>
    <mergeCell ref="E1698:H1698"/>
    <mergeCell ref="E1699:H1699"/>
    <mergeCell ref="E1700:H1700"/>
    <mergeCell ref="E1689:H1689"/>
    <mergeCell ref="E1690:H1690"/>
    <mergeCell ref="E1691:H1691"/>
    <mergeCell ref="E1692:H1692"/>
    <mergeCell ref="E1693:H1693"/>
    <mergeCell ref="E1694:H1694"/>
    <mergeCell ref="E1683:H1683"/>
    <mergeCell ref="E1684:H1684"/>
    <mergeCell ref="E1685:H1685"/>
    <mergeCell ref="E1686:H1686"/>
    <mergeCell ref="E1687:H1687"/>
    <mergeCell ref="E1688:H1688"/>
    <mergeCell ref="E1677:H1677"/>
    <mergeCell ref="E1678:H1678"/>
    <mergeCell ref="E1679:H1679"/>
    <mergeCell ref="E1680:H1680"/>
    <mergeCell ref="E1681:H1681"/>
    <mergeCell ref="E1682:H1682"/>
    <mergeCell ref="E1671:H1671"/>
    <mergeCell ref="E1672:H1672"/>
    <mergeCell ref="E1673:H1673"/>
    <mergeCell ref="E1674:H1674"/>
    <mergeCell ref="E1675:H1675"/>
    <mergeCell ref="E1676:H1676"/>
    <mergeCell ref="E1665:H1665"/>
    <mergeCell ref="E1666:H1666"/>
    <mergeCell ref="E1667:H1667"/>
    <mergeCell ref="E1668:H1668"/>
    <mergeCell ref="E1669:H1669"/>
    <mergeCell ref="E1670:H1670"/>
    <mergeCell ref="I356:I358"/>
    <mergeCell ref="J356:L356"/>
    <mergeCell ref="E357:E358"/>
    <mergeCell ref="F357:H357"/>
    <mergeCell ref="J357:J358"/>
    <mergeCell ref="K357:L357"/>
    <mergeCell ref="E1569:H1569"/>
    <mergeCell ref="E1274:L1274"/>
    <mergeCell ref="E1348:H1348"/>
    <mergeCell ref="E1349:H1349"/>
    <mergeCell ref="E1350:H1350"/>
    <mergeCell ref="E1351:H1351"/>
    <mergeCell ref="E1353:H1353"/>
    <mergeCell ref="E1354:H1354"/>
    <mergeCell ref="E1355:H1355"/>
    <mergeCell ref="E1356:H1356"/>
    <mergeCell ref="A356:A359"/>
    <mergeCell ref="B356:B359"/>
    <mergeCell ref="C356:C359"/>
    <mergeCell ref="D356:D358"/>
    <mergeCell ref="E356:H356"/>
    <mergeCell ref="C427:C428"/>
    <mergeCell ref="D427:D428"/>
    <mergeCell ref="E772:H772"/>
    <mergeCell ref="A840:A843"/>
    <mergeCell ref="O1485:P1485"/>
    <mergeCell ref="E1135:H1135"/>
    <mergeCell ref="E1566:H1566"/>
    <mergeCell ref="E1129:H1129"/>
    <mergeCell ref="G1124:H1124"/>
    <mergeCell ref="G1128:H1128"/>
    <mergeCell ref="G1130:H1130"/>
    <mergeCell ref="E1131:H1131"/>
    <mergeCell ref="G1559:H1559"/>
    <mergeCell ref="G151:H151"/>
    <mergeCell ref="G214:H214"/>
    <mergeCell ref="G152:H152"/>
    <mergeCell ref="G153:H153"/>
    <mergeCell ref="G154:H154"/>
    <mergeCell ref="G164:H164"/>
    <mergeCell ref="G165:H165"/>
    <mergeCell ref="E1358:H1358"/>
    <mergeCell ref="E1361:H1361"/>
    <mergeCell ref="G1565:H1565"/>
    <mergeCell ref="E1133:F1133"/>
    <mergeCell ref="E1125:H1125"/>
    <mergeCell ref="G1133:H1133"/>
    <mergeCell ref="A144:A146"/>
    <mergeCell ref="B144:B146"/>
    <mergeCell ref="G144:H144"/>
    <mergeCell ref="E145:H145"/>
    <mergeCell ref="G146:H146"/>
    <mergeCell ref="E1416:E1418"/>
    <mergeCell ref="E1360:H1360"/>
    <mergeCell ref="A73:A76"/>
    <mergeCell ref="G155:H155"/>
    <mergeCell ref="G156:H156"/>
    <mergeCell ref="G157:H157"/>
    <mergeCell ref="G158:H158"/>
    <mergeCell ref="B73:B76"/>
    <mergeCell ref="C73:C76"/>
    <mergeCell ref="G147:H147"/>
    <mergeCell ref="G148:H148"/>
    <mergeCell ref="G149:H149"/>
    <mergeCell ref="G150:H150"/>
    <mergeCell ref="G159:H159"/>
    <mergeCell ref="G160:H160"/>
    <mergeCell ref="G161:H161"/>
    <mergeCell ref="G162:H162"/>
    <mergeCell ref="G163:H163"/>
    <mergeCell ref="G167:H167"/>
    <mergeCell ref="G168:H168"/>
    <mergeCell ref="G169:H169"/>
    <mergeCell ref="G170:H170"/>
    <mergeCell ref="G171:H171"/>
    <mergeCell ref="G166:H166"/>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C285:C288"/>
    <mergeCell ref="E285:F285"/>
    <mergeCell ref="G285:H285"/>
    <mergeCell ref="G202:H202"/>
    <mergeCell ref="G203:H203"/>
    <mergeCell ref="G204:H204"/>
    <mergeCell ref="G205:H205"/>
    <mergeCell ref="G206:H206"/>
    <mergeCell ref="G207:H207"/>
    <mergeCell ref="G215:H215"/>
    <mergeCell ref="C496:C498"/>
    <mergeCell ref="A427:A428"/>
    <mergeCell ref="B427:B428"/>
    <mergeCell ref="G208:H208"/>
    <mergeCell ref="G209:H209"/>
    <mergeCell ref="G210:H210"/>
    <mergeCell ref="G211:H211"/>
    <mergeCell ref="G212:H212"/>
    <mergeCell ref="A285:A288"/>
    <mergeCell ref="B285:B288"/>
    <mergeCell ref="E1362:H1362"/>
    <mergeCell ref="E1363:H1363"/>
    <mergeCell ref="E1364:H1364"/>
    <mergeCell ref="G213:H213"/>
    <mergeCell ref="E287:H287"/>
    <mergeCell ref="A214:A215"/>
    <mergeCell ref="B214:B215"/>
    <mergeCell ref="E232:F232"/>
    <mergeCell ref="A496:A498"/>
    <mergeCell ref="B496:B498"/>
    <mergeCell ref="E1574:H1574"/>
    <mergeCell ref="E769:H771"/>
    <mergeCell ref="E1575:H1575"/>
    <mergeCell ref="E778:H778"/>
    <mergeCell ref="E779:H779"/>
    <mergeCell ref="E1570:H1570"/>
    <mergeCell ref="E1571:H1571"/>
    <mergeCell ref="E1572:H1572"/>
    <mergeCell ref="E1573:H1573"/>
    <mergeCell ref="E839:H839"/>
    <mergeCell ref="E1576:H1576"/>
    <mergeCell ref="E1577:H1577"/>
    <mergeCell ref="E1578:H1578"/>
    <mergeCell ref="E1579:H1579"/>
    <mergeCell ref="E1580:H1580"/>
    <mergeCell ref="E1581:H1581"/>
    <mergeCell ref="E1592:H1592"/>
    <mergeCell ref="E1595:H1595"/>
    <mergeCell ref="E1582:H1582"/>
    <mergeCell ref="E1583:H1583"/>
    <mergeCell ref="E1584:H1584"/>
    <mergeCell ref="E1585:H1585"/>
    <mergeCell ref="E1586:H1586"/>
    <mergeCell ref="E1608:H1608"/>
    <mergeCell ref="E1593:H1593"/>
    <mergeCell ref="E1594:H1594"/>
    <mergeCell ref="E1606:H1606"/>
    <mergeCell ref="E1607:H1607"/>
    <mergeCell ref="E1598:H1598"/>
    <mergeCell ref="E1597:H1597"/>
    <mergeCell ref="E1596:H1596"/>
    <mergeCell ref="E1603:H1603"/>
    <mergeCell ref="E1604:H1604"/>
    <mergeCell ref="E1609:H1609"/>
    <mergeCell ref="E1367:H1367"/>
    <mergeCell ref="E1368:H1368"/>
    <mergeCell ref="E1369:H1369"/>
    <mergeCell ref="E1373:H1373"/>
    <mergeCell ref="E1610:H1610"/>
    <mergeCell ref="E1599:H1599"/>
    <mergeCell ref="E1600:H1600"/>
    <mergeCell ref="E1601:H1601"/>
    <mergeCell ref="E1602:H1602"/>
    <mergeCell ref="E796:H796"/>
    <mergeCell ref="E1605:H1605"/>
    <mergeCell ref="E1366:H1366"/>
    <mergeCell ref="E1587:H1587"/>
    <mergeCell ref="E1588:H1588"/>
    <mergeCell ref="E1589:H1589"/>
    <mergeCell ref="E1590:H1590"/>
    <mergeCell ref="E1365:H1365"/>
    <mergeCell ref="E1374:H1374"/>
    <mergeCell ref="E1591:H1591"/>
    <mergeCell ref="E784:H784"/>
    <mergeCell ref="E786:H786"/>
    <mergeCell ref="E787:H787"/>
    <mergeCell ref="E793:H793"/>
    <mergeCell ref="E794:H794"/>
    <mergeCell ref="E795:H795"/>
    <mergeCell ref="E782:H782"/>
    <mergeCell ref="E783:H783"/>
    <mergeCell ref="E789:H789"/>
    <mergeCell ref="E790:H790"/>
    <mergeCell ref="E791:H791"/>
    <mergeCell ref="E846:H846"/>
    <mergeCell ref="E792:H792"/>
    <mergeCell ref="E785:H785"/>
    <mergeCell ref="E788:H788"/>
    <mergeCell ref="E797:H797"/>
    <mergeCell ref="A1274:A1276"/>
    <mergeCell ref="B1274:B1276"/>
    <mergeCell ref="C1274:C1276"/>
    <mergeCell ref="G1203:H1203"/>
    <mergeCell ref="G1134:H1134"/>
    <mergeCell ref="E847:H847"/>
    <mergeCell ref="E848:H848"/>
    <mergeCell ref="E852:H852"/>
    <mergeCell ref="E853:H853"/>
    <mergeCell ref="E854:H854"/>
    <mergeCell ref="G1146:H1146"/>
    <mergeCell ref="G1144:H1144"/>
    <mergeCell ref="E1370:H1370"/>
    <mergeCell ref="G1156:H1156"/>
    <mergeCell ref="G1185:H1185"/>
    <mergeCell ref="G1178:H1178"/>
    <mergeCell ref="G1179:H1179"/>
    <mergeCell ref="G1145:H1145"/>
    <mergeCell ref="G1148:H1148"/>
    <mergeCell ref="G1149:H1149"/>
    <mergeCell ref="E1371:H1371"/>
    <mergeCell ref="E1372:H1372"/>
    <mergeCell ref="G1138:H1138"/>
    <mergeCell ref="G1139:H1139"/>
    <mergeCell ref="G1141:H1141"/>
    <mergeCell ref="G1142:H1142"/>
    <mergeCell ref="G1140:H1140"/>
    <mergeCell ref="G1143:H1143"/>
    <mergeCell ref="G1173:H1173"/>
    <mergeCell ref="G1167:H1167"/>
    <mergeCell ref="E1375:H1375"/>
    <mergeCell ref="E1376:H1376"/>
    <mergeCell ref="E1377:H1377"/>
    <mergeCell ref="E1378:H1378"/>
    <mergeCell ref="E1379:H1379"/>
    <mergeCell ref="E1380:H1380"/>
    <mergeCell ref="E1381:H1381"/>
    <mergeCell ref="E1382:H1382"/>
    <mergeCell ref="E1383:H1383"/>
    <mergeCell ref="E1384:H1384"/>
    <mergeCell ref="E1385:H1385"/>
    <mergeCell ref="E1386:H1386"/>
    <mergeCell ref="E1387:H1387"/>
    <mergeCell ref="E1388:H1388"/>
    <mergeCell ref="E1389:H1389"/>
    <mergeCell ref="E1390:H1390"/>
    <mergeCell ref="E1391:H1391"/>
    <mergeCell ref="E1392:H1392"/>
    <mergeCell ref="E1393:H1393"/>
    <mergeCell ref="E1394:H1394"/>
    <mergeCell ref="E1395:H1395"/>
    <mergeCell ref="E1396:H1396"/>
    <mergeCell ref="E1397:H1397"/>
    <mergeCell ref="E1398:H1398"/>
    <mergeCell ref="E1399:H1399"/>
    <mergeCell ref="E1400:H1400"/>
    <mergeCell ref="E1401:H1401"/>
    <mergeCell ref="E1402:H1402"/>
    <mergeCell ref="E1404:H1404"/>
    <mergeCell ref="E1405:H1405"/>
    <mergeCell ref="E1406:H1406"/>
    <mergeCell ref="E1407:H1407"/>
    <mergeCell ref="E1408:H1408"/>
    <mergeCell ref="E1409:H1409"/>
    <mergeCell ref="E1410:H1410"/>
    <mergeCell ref="E1411:H1411"/>
    <mergeCell ref="A769:A772"/>
    <mergeCell ref="B769:B772"/>
    <mergeCell ref="C769:C772"/>
    <mergeCell ref="E773:H773"/>
    <mergeCell ref="E780:H780"/>
    <mergeCell ref="E781:H781"/>
    <mergeCell ref="E774:H774"/>
    <mergeCell ref="E775:H775"/>
    <mergeCell ref="E776:H776"/>
    <mergeCell ref="E777:H777"/>
    <mergeCell ref="E798:H798"/>
    <mergeCell ref="E799:H799"/>
    <mergeCell ref="E800:H800"/>
    <mergeCell ref="E801:H801"/>
    <mergeCell ref="E802:H802"/>
    <mergeCell ref="E803:H803"/>
    <mergeCell ref="E804:H804"/>
    <mergeCell ref="E805:H805"/>
    <mergeCell ref="E806:H806"/>
    <mergeCell ref="E818:H818"/>
    <mergeCell ref="E819:H819"/>
    <mergeCell ref="E820:H820"/>
    <mergeCell ref="E821:H821"/>
    <mergeCell ref="E807:H807"/>
    <mergeCell ref="E808:H808"/>
    <mergeCell ref="E809:H809"/>
    <mergeCell ref="E810:H810"/>
    <mergeCell ref="E811:H811"/>
    <mergeCell ref="E812:H812"/>
    <mergeCell ref="E822:H822"/>
    <mergeCell ref="E823:H823"/>
    <mergeCell ref="E831:H831"/>
    <mergeCell ref="E832:H832"/>
    <mergeCell ref="E813:H813"/>
    <mergeCell ref="E814:H814"/>
    <mergeCell ref="E815:H815"/>
    <mergeCell ref="E816:H816"/>
    <mergeCell ref="E817:H817"/>
    <mergeCell ref="E828:H828"/>
    <mergeCell ref="G1150:H1150"/>
    <mergeCell ref="G1154:H1154"/>
    <mergeCell ref="G1153:H1153"/>
    <mergeCell ref="G1147:H1147"/>
    <mergeCell ref="G1151:H1151"/>
    <mergeCell ref="G1152:H1152"/>
    <mergeCell ref="G1155:H1155"/>
    <mergeCell ref="G1157:H1157"/>
    <mergeCell ref="G1158:H1158"/>
    <mergeCell ref="G1161:H1161"/>
    <mergeCell ref="G1159:H1159"/>
    <mergeCell ref="G1166:H1166"/>
    <mergeCell ref="G1164:H1164"/>
    <mergeCell ref="G1165:H1165"/>
    <mergeCell ref="G1168:H1168"/>
    <mergeCell ref="G1160:H1160"/>
    <mergeCell ref="G1162:H1162"/>
    <mergeCell ref="G1163:H1163"/>
    <mergeCell ref="G1171:H1171"/>
    <mergeCell ref="G1172:H1172"/>
    <mergeCell ref="G1169:H1169"/>
    <mergeCell ref="G1170:H1170"/>
    <mergeCell ref="G1176:H1176"/>
    <mergeCell ref="G1177:H1177"/>
    <mergeCell ref="G1186:H1186"/>
    <mergeCell ref="G1189:H1189"/>
    <mergeCell ref="G1174:H1174"/>
    <mergeCell ref="G1175:H1175"/>
    <mergeCell ref="G1182:H1182"/>
    <mergeCell ref="G1183:H1183"/>
    <mergeCell ref="G1181:H1181"/>
    <mergeCell ref="G1180:H1180"/>
    <mergeCell ref="G1198:H1198"/>
    <mergeCell ref="G1195:H1195"/>
    <mergeCell ref="G1196:H1196"/>
    <mergeCell ref="G1184:H1184"/>
    <mergeCell ref="G1190:H1190"/>
    <mergeCell ref="G1187:H1187"/>
    <mergeCell ref="G1188:H1188"/>
    <mergeCell ref="A1053:A1056"/>
    <mergeCell ref="B1053:B1056"/>
    <mergeCell ref="C1053:C1056"/>
    <mergeCell ref="E1053:H1056"/>
    <mergeCell ref="E1123:H1123"/>
    <mergeCell ref="E1057:H1057"/>
    <mergeCell ref="E1058:H1058"/>
    <mergeCell ref="E1059:H1059"/>
    <mergeCell ref="E1060:H1060"/>
    <mergeCell ref="E1061:H1061"/>
    <mergeCell ref="E1062:H1062"/>
    <mergeCell ref="E1063:H1063"/>
    <mergeCell ref="E1064:H1064"/>
    <mergeCell ref="E1065:H1065"/>
    <mergeCell ref="E1066:H1066"/>
    <mergeCell ref="E1067:H1067"/>
    <mergeCell ref="E1068:H1068"/>
    <mergeCell ref="E1069:H1069"/>
    <mergeCell ref="E1070:H1070"/>
    <mergeCell ref="E1071:H1071"/>
    <mergeCell ref="E1072:H1072"/>
    <mergeCell ref="E1073:H1073"/>
    <mergeCell ref="E1074:H1074"/>
    <mergeCell ref="E1075:H1075"/>
    <mergeCell ref="E1076:H1076"/>
    <mergeCell ref="E1077:H1077"/>
    <mergeCell ref="E1078:H1078"/>
    <mergeCell ref="E1079:H1079"/>
    <mergeCell ref="E1080:H1080"/>
    <mergeCell ref="E1081:H1081"/>
    <mergeCell ref="E1082:H1082"/>
    <mergeCell ref="E1083:H1083"/>
    <mergeCell ref="E1084:H1084"/>
    <mergeCell ref="E1085:H1085"/>
    <mergeCell ref="E1086:H1086"/>
    <mergeCell ref="E1087:H1087"/>
    <mergeCell ref="E1088:H1088"/>
    <mergeCell ref="E1089:H1089"/>
    <mergeCell ref="E1090:H1090"/>
    <mergeCell ref="E1091:H1091"/>
    <mergeCell ref="E1107:H1107"/>
    <mergeCell ref="E1092:H1092"/>
    <mergeCell ref="E1093:H1093"/>
    <mergeCell ref="E1094:H1094"/>
    <mergeCell ref="E1095:H1095"/>
    <mergeCell ref="E1096:H1096"/>
    <mergeCell ref="E1097:H1097"/>
    <mergeCell ref="E1099:H1099"/>
    <mergeCell ref="E1100:H1100"/>
    <mergeCell ref="E1101:H1101"/>
    <mergeCell ref="E1102:H1102"/>
    <mergeCell ref="E1103:H1103"/>
    <mergeCell ref="E1104:H1104"/>
    <mergeCell ref="E1121:H1121"/>
    <mergeCell ref="E1122:H1122"/>
    <mergeCell ref="E1111:H1111"/>
    <mergeCell ref="E1112:H1112"/>
    <mergeCell ref="E1113:H1113"/>
    <mergeCell ref="E1114:H1114"/>
    <mergeCell ref="E1115:H1115"/>
    <mergeCell ref="A1415:A1418"/>
    <mergeCell ref="B1415:B1418"/>
    <mergeCell ref="C1415:C1418"/>
    <mergeCell ref="E1118:H1118"/>
    <mergeCell ref="G1199:H1199"/>
    <mergeCell ref="G1200:H1200"/>
    <mergeCell ref="E1119:H1119"/>
    <mergeCell ref="G1197:H1197"/>
    <mergeCell ref="G1191:H1191"/>
    <mergeCell ref="G1194:H1194"/>
    <mergeCell ref="E1120:H1120"/>
    <mergeCell ref="E1492:H1492"/>
    <mergeCell ref="E1412:H1412"/>
    <mergeCell ref="E1413:H1413"/>
    <mergeCell ref="E1414:H1414"/>
    <mergeCell ref="E1490:H1490"/>
    <mergeCell ref="G1201:H1201"/>
    <mergeCell ref="G1202:H1202"/>
    <mergeCell ref="G1192:H1192"/>
    <mergeCell ref="G1193:H1193"/>
    <mergeCell ref="E1493:H1493"/>
    <mergeCell ref="E1491:H1491"/>
    <mergeCell ref="E1494:H1494"/>
    <mergeCell ref="E1495:H1495"/>
    <mergeCell ref="E1496:H1496"/>
    <mergeCell ref="E1497:H1497"/>
    <mergeCell ref="E1498:H1498"/>
    <mergeCell ref="E1499:H1499"/>
    <mergeCell ref="E1500:H1500"/>
    <mergeCell ref="E1501:H1501"/>
    <mergeCell ref="E1502:H1502"/>
    <mergeCell ref="E1503:H1503"/>
    <mergeCell ref="E1504:H1504"/>
    <mergeCell ref="E1505:H1505"/>
    <mergeCell ref="E1506:H1506"/>
    <mergeCell ref="E1507:H1507"/>
    <mergeCell ref="E1508:H1508"/>
    <mergeCell ref="E1509:H1509"/>
    <mergeCell ref="E1510:H1510"/>
    <mergeCell ref="E1511:H1511"/>
    <mergeCell ref="E1512:H1512"/>
    <mergeCell ref="E1513:H1513"/>
    <mergeCell ref="E1514:H1514"/>
    <mergeCell ref="E1515:H1515"/>
    <mergeCell ref="E1516:H1516"/>
    <mergeCell ref="E1517:H1517"/>
    <mergeCell ref="E1518:H1518"/>
    <mergeCell ref="E1519:H1519"/>
    <mergeCell ref="E1520:H1520"/>
    <mergeCell ref="E1521:H1521"/>
    <mergeCell ref="E1522:H1522"/>
    <mergeCell ref="E1523:H1523"/>
    <mergeCell ref="E1524:H1524"/>
    <mergeCell ref="E1525:H1525"/>
    <mergeCell ref="E1526:H1526"/>
    <mergeCell ref="E1537:H1537"/>
    <mergeCell ref="E1527:H1527"/>
    <mergeCell ref="E1528:H1528"/>
    <mergeCell ref="E1529:H1529"/>
    <mergeCell ref="E1530:H1530"/>
    <mergeCell ref="E1540:H1540"/>
    <mergeCell ref="E1541:H1541"/>
    <mergeCell ref="E1542:H1542"/>
    <mergeCell ref="E1531:H1531"/>
    <mergeCell ref="E1532:H1532"/>
    <mergeCell ref="E1545:H1545"/>
    <mergeCell ref="E1553:H1553"/>
    <mergeCell ref="E1554:H1554"/>
    <mergeCell ref="E1543:H1543"/>
    <mergeCell ref="E1544:H1544"/>
    <mergeCell ref="E1533:H1533"/>
    <mergeCell ref="E1534:H1534"/>
    <mergeCell ref="E1535:H1535"/>
    <mergeCell ref="E1536:H1536"/>
    <mergeCell ref="E1538:H1538"/>
    <mergeCell ref="E1539:H1539"/>
    <mergeCell ref="E1617:H1617"/>
    <mergeCell ref="E1618:H1618"/>
    <mergeCell ref="E1619:H1619"/>
    <mergeCell ref="E1560:H1560"/>
    <mergeCell ref="E1613:H1613"/>
    <mergeCell ref="E1614:H1614"/>
    <mergeCell ref="E1615:H1615"/>
    <mergeCell ref="E1616:H1616"/>
    <mergeCell ref="E1612:H1612"/>
    <mergeCell ref="E1611:H1611"/>
    <mergeCell ref="E1620:H1620"/>
    <mergeCell ref="E1621:H1621"/>
    <mergeCell ref="E1622:H1622"/>
    <mergeCell ref="E1623:H1623"/>
    <mergeCell ref="E1624:H1624"/>
    <mergeCell ref="E1625:H1625"/>
    <mergeCell ref="E1626:H1626"/>
    <mergeCell ref="E1627:H1627"/>
    <mergeCell ref="E1628:H1628"/>
    <mergeCell ref="E1629:H1629"/>
    <mergeCell ref="E1630:H1630"/>
    <mergeCell ref="E1631:H1631"/>
    <mergeCell ref="E1643:H1643"/>
    <mergeCell ref="E1644:H1644"/>
    <mergeCell ref="E1632:H1632"/>
    <mergeCell ref="E1633:H1633"/>
    <mergeCell ref="E1634:H1634"/>
    <mergeCell ref="E1635:H1635"/>
    <mergeCell ref="E1636:H1636"/>
    <mergeCell ref="E1638:H1638"/>
    <mergeCell ref="G1637:H1637"/>
    <mergeCell ref="E1656:H1656"/>
    <mergeCell ref="E1645:H1645"/>
    <mergeCell ref="E1646:H1646"/>
    <mergeCell ref="E1647:H1647"/>
    <mergeCell ref="E1648:H1648"/>
    <mergeCell ref="E1649:H1649"/>
    <mergeCell ref="E1650:H1650"/>
    <mergeCell ref="E838:H838"/>
    <mergeCell ref="E1651:H1651"/>
    <mergeCell ref="E1652:H1652"/>
    <mergeCell ref="E1653:H1653"/>
    <mergeCell ref="E1654:H1654"/>
    <mergeCell ref="E1655:H1655"/>
    <mergeCell ref="E1639:H1639"/>
    <mergeCell ref="E1640:H1640"/>
    <mergeCell ref="E1641:H1641"/>
    <mergeCell ref="E1642:H1642"/>
    <mergeCell ref="G216:H216"/>
    <mergeCell ref="E1662:H1662"/>
    <mergeCell ref="E825:H825"/>
    <mergeCell ref="E826:H826"/>
    <mergeCell ref="E827:H827"/>
    <mergeCell ref="E272:F272"/>
    <mergeCell ref="E834:H834"/>
    <mergeCell ref="E1661:H1661"/>
    <mergeCell ref="E824:H824"/>
    <mergeCell ref="G217:H217"/>
    <mergeCell ref="E1664:H1664"/>
    <mergeCell ref="E1657:H1657"/>
    <mergeCell ref="E1658:H1658"/>
    <mergeCell ref="E1659:H1659"/>
    <mergeCell ref="E1660:H1660"/>
    <mergeCell ref="E830:H830"/>
    <mergeCell ref="E836:H836"/>
    <mergeCell ref="E837:H837"/>
    <mergeCell ref="E833:H833"/>
    <mergeCell ref="E849:H849"/>
    <mergeCell ref="C214:C215"/>
    <mergeCell ref="D214:D215"/>
    <mergeCell ref="E215:F215"/>
    <mergeCell ref="E835:H835"/>
    <mergeCell ref="E1663:H1663"/>
    <mergeCell ref="E829:H829"/>
    <mergeCell ref="E850:H850"/>
    <mergeCell ref="E216:F216"/>
    <mergeCell ref="E217:F217"/>
    <mergeCell ref="C982:C985"/>
    <mergeCell ref="B982:B985"/>
    <mergeCell ref="A982:A985"/>
    <mergeCell ref="E982:E985"/>
    <mergeCell ref="E1117:H1117"/>
    <mergeCell ref="E1105:H1105"/>
    <mergeCell ref="E1106:H1106"/>
    <mergeCell ref="E1108:H1108"/>
    <mergeCell ref="E1098:H1098"/>
    <mergeCell ref="E1109:H1109"/>
    <mergeCell ref="E1116:H1116"/>
    <mergeCell ref="E1562:H1562"/>
    <mergeCell ref="G1563:H1563"/>
    <mergeCell ref="E1564:H1564"/>
    <mergeCell ref="G1126:H1126"/>
    <mergeCell ref="E1127:H1127"/>
    <mergeCell ref="E1555:H1555"/>
    <mergeCell ref="E1546:H1546"/>
    <mergeCell ref="E1547:H1547"/>
    <mergeCell ref="E1549:H1549"/>
    <mergeCell ref="E1550:H1550"/>
    <mergeCell ref="AD921:AE921"/>
    <mergeCell ref="AD922:AE922"/>
    <mergeCell ref="AD923:AE923"/>
    <mergeCell ref="E1548:H1548"/>
    <mergeCell ref="E1110:H1110"/>
    <mergeCell ref="G1561:H1561"/>
    <mergeCell ref="F982:F985"/>
    <mergeCell ref="E1556:H1556"/>
    <mergeCell ref="E1551:H1551"/>
    <mergeCell ref="E1552:H1552"/>
    <mergeCell ref="AD915:AE915"/>
    <mergeCell ref="AD916:AE916"/>
    <mergeCell ref="AD917:AE917"/>
    <mergeCell ref="AD918:AE918"/>
    <mergeCell ref="AD919:AE919"/>
    <mergeCell ref="AD920:AE920"/>
    <mergeCell ref="AD924:AE924"/>
    <mergeCell ref="AD925:AE925"/>
    <mergeCell ref="AD926:AE926"/>
    <mergeCell ref="AD927:AE927"/>
    <mergeCell ref="AD928:AE928"/>
    <mergeCell ref="AD929:AE929"/>
    <mergeCell ref="AD930:AE930"/>
    <mergeCell ref="AD931:AE931"/>
    <mergeCell ref="AD932:AE932"/>
    <mergeCell ref="AD933:AE933"/>
    <mergeCell ref="AD934:AE934"/>
    <mergeCell ref="AD935:AE935"/>
    <mergeCell ref="AD936:AE936"/>
    <mergeCell ref="AD937:AE937"/>
    <mergeCell ref="AD938:AE938"/>
    <mergeCell ref="AD939:AE939"/>
    <mergeCell ref="AD940:AE940"/>
    <mergeCell ref="AD941:AE941"/>
    <mergeCell ref="AD942:AE942"/>
    <mergeCell ref="AD943:AE943"/>
    <mergeCell ref="AD944:AE944"/>
    <mergeCell ref="AD945:AE945"/>
    <mergeCell ref="AD946:AE946"/>
    <mergeCell ref="AD947:AE947"/>
    <mergeCell ref="AD948:AE948"/>
    <mergeCell ref="AD949:AE949"/>
    <mergeCell ref="AD950:AE950"/>
    <mergeCell ref="AD951:AE951"/>
    <mergeCell ref="AD952:AE952"/>
    <mergeCell ref="AD953:AE953"/>
    <mergeCell ref="AD954:AE954"/>
    <mergeCell ref="AD955:AE955"/>
    <mergeCell ref="AD956:AE956"/>
    <mergeCell ref="AD957:AE957"/>
    <mergeCell ref="AD958:AE958"/>
    <mergeCell ref="AD959:AE959"/>
    <mergeCell ref="AD960:AE960"/>
    <mergeCell ref="AD961:AE961"/>
    <mergeCell ref="AD962:AE962"/>
    <mergeCell ref="AD963:AE963"/>
    <mergeCell ref="AD964:AE964"/>
    <mergeCell ref="AD965:AE965"/>
    <mergeCell ref="AD966:AE966"/>
    <mergeCell ref="AD967:AE967"/>
    <mergeCell ref="AD968:AE968"/>
    <mergeCell ref="AD969:AE969"/>
    <mergeCell ref="AD970:AE970"/>
    <mergeCell ref="AD971:AE971"/>
    <mergeCell ref="AD978:AE978"/>
    <mergeCell ref="AD979:AE979"/>
    <mergeCell ref="AD980:AE980"/>
    <mergeCell ref="AD981:AE981"/>
    <mergeCell ref="AD972:AE972"/>
    <mergeCell ref="AD973:AE973"/>
    <mergeCell ref="AD974:AE974"/>
    <mergeCell ref="AD975:AE975"/>
    <mergeCell ref="AD976:AE976"/>
    <mergeCell ref="AD977:AE977"/>
  </mergeCells>
  <printOptions horizontalCentered="1"/>
  <pageMargins left="0.51181102362204722" right="0.51181102362204722" top="0.15748031496062992" bottom="0.74803149606299213"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28</vt:i4>
      </vt:variant>
    </vt:vector>
  </HeadingPairs>
  <TitlesOfParts>
    <vt:vector size="42" baseType="lpstr">
      <vt:lpstr>дод1</vt:lpstr>
      <vt:lpstr>дод1.1без змін</vt:lpstr>
      <vt:lpstr> дод1.2без змін</vt:lpstr>
      <vt:lpstr> дод1.3</vt:lpstr>
      <vt:lpstr>дод2</vt:lpstr>
      <vt:lpstr>дод3</vt:lpstr>
      <vt:lpstr>дод 4без змін</vt:lpstr>
      <vt:lpstr>Додаток 5_Д</vt:lpstr>
      <vt:lpstr>Додаток 5_В</vt:lpstr>
      <vt:lpstr> дод 5_1</vt:lpstr>
      <vt:lpstr>дод5.2без змін</vt:lpstr>
      <vt:lpstr>дод 5.3</vt:lpstr>
      <vt:lpstr>дод6</vt:lpstr>
      <vt:lpstr>дод7</vt:lpstr>
      <vt:lpstr>' дод 5_1'!Заголовки_для_печати</vt:lpstr>
      <vt:lpstr>' дод1.2без змін'!Заголовки_для_печати</vt:lpstr>
      <vt:lpstr>' дод1.3'!Заголовки_для_печати</vt:lpstr>
      <vt:lpstr>'дод 4без змін'!Заголовки_для_печати</vt:lpstr>
      <vt:lpstr>'дод 5.3'!Заголовки_для_печати</vt:lpstr>
      <vt:lpstr>дод1!Заголовки_для_печати</vt:lpstr>
      <vt:lpstr>'дод1.1без змін'!Заголовки_для_печати</vt:lpstr>
      <vt:lpstr>дод2!Заголовки_для_печати</vt:lpstr>
      <vt:lpstr>дод3!Заголовки_для_печати</vt:lpstr>
      <vt:lpstr>'дод5.2без змін'!Заголовки_для_печати</vt:lpstr>
      <vt:lpstr>дод6!Заголовки_для_печати</vt:lpstr>
      <vt:lpstr>дод7!Заголовки_для_печати</vt:lpstr>
      <vt:lpstr>'Додаток 5_В'!Заголовки_для_печати</vt:lpstr>
      <vt:lpstr>'Додаток 5_Д'!Заголовки_для_печати</vt:lpstr>
      <vt:lpstr>' дод 5_1'!Область_печати</vt:lpstr>
      <vt:lpstr>' дод1.2без змін'!Область_печати</vt:lpstr>
      <vt:lpstr>' дод1.3'!Область_печати</vt:lpstr>
      <vt:lpstr>'дод 4без змін'!Область_печати</vt:lpstr>
      <vt:lpstr>'дод 5.3'!Область_печати</vt:lpstr>
      <vt:lpstr>дод1!Область_печати</vt:lpstr>
      <vt:lpstr>'дод1.1без змін'!Область_печати</vt:lpstr>
      <vt:lpstr>дод2!Область_печати</vt:lpstr>
      <vt:lpstr>дод3!Область_печати</vt:lpstr>
      <vt:lpstr>'дод5.2без змін'!Область_печати</vt:lpstr>
      <vt:lpstr>дод6!Область_печати</vt:lpstr>
      <vt:lpstr>дод7!Область_печати</vt:lpstr>
      <vt:lpstr>'Додаток 5_В'!Область_печати</vt:lpstr>
      <vt:lpstr>'Додаток 5_Д'!Область_печати</vt:lpstr>
    </vt:vector>
  </TitlesOfParts>
  <Company>Минфин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бюжетний відділ</dc:creator>
  <cp:lastModifiedBy>User</cp:lastModifiedBy>
  <cp:lastPrinted>2021-11-29T18:34:42Z</cp:lastPrinted>
  <dcterms:created xsi:type="dcterms:W3CDTF">2000-03-27T15:08:06Z</dcterms:created>
  <dcterms:modified xsi:type="dcterms:W3CDTF">2021-11-29T19:09:04Z</dcterms:modified>
</cp:coreProperties>
</file>